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17E1A3F-13F6-4889-B691-8385921E84D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преди компенсации" sheetId="1" r:id="rId1"/>
    <sheet name="след компенсации" sheetId="2" r:id="rId2"/>
    <sheet name="Sheet3" sheetId="3" r:id="rId3"/>
  </sheets>
  <definedNames>
    <definedName name="_xlnm.Print_Area" localSheetId="0">'преди компенсации'!$A$1:$P$90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0" i="1" l="1"/>
  <c r="D64" i="1" s="1"/>
  <c r="D83" i="1" s="1"/>
  <c r="I55" i="1"/>
  <c r="I53" i="1"/>
  <c r="I51" i="1"/>
  <c r="I49" i="1"/>
  <c r="I40" i="1"/>
  <c r="I82" i="1"/>
  <c r="I77" i="1"/>
  <c r="I74" i="1"/>
  <c r="I70" i="1"/>
  <c r="I69" i="1"/>
  <c r="I68" i="1"/>
  <c r="I63" i="1"/>
  <c r="I62" i="1"/>
  <c r="I45" i="1"/>
  <c r="I44" i="1"/>
  <c r="I43" i="1"/>
  <c r="I42" i="1"/>
  <c r="H64" i="1"/>
  <c r="D41" i="1"/>
  <c r="D61" i="1"/>
  <c r="I34" i="1" l="1"/>
  <c r="I18" i="1"/>
  <c r="I14" i="1"/>
  <c r="I13" i="1"/>
  <c r="D9" i="1"/>
  <c r="D12" i="1"/>
  <c r="I12" i="1" s="1"/>
  <c r="D11" i="1"/>
  <c r="D36" i="1" s="1"/>
  <c r="D14" i="1"/>
  <c r="D13" i="1"/>
  <c r="N40" i="1"/>
  <c r="N53" i="1"/>
  <c r="N51" i="1"/>
  <c r="N55" i="1"/>
  <c r="N49" i="1"/>
  <c r="N70" i="1"/>
  <c r="N75" i="1"/>
  <c r="N64" i="1" s="1"/>
  <c r="N43" i="1"/>
  <c r="N41" i="1" s="1"/>
  <c r="N57" i="1"/>
  <c r="N48" i="1" l="1"/>
  <c r="I76" i="1"/>
  <c r="H39" i="1"/>
  <c r="H83" i="1"/>
  <c r="H48" i="1"/>
  <c r="I48" i="1" s="1"/>
  <c r="H22" i="1"/>
  <c r="H21" i="1"/>
  <c r="H36" i="1" s="1"/>
  <c r="E35" i="1" s="1"/>
  <c r="E36" i="1" s="1"/>
  <c r="L63" i="1"/>
  <c r="L53" i="1"/>
  <c r="L51" i="1"/>
  <c r="L55" i="1"/>
  <c r="L49" i="1"/>
  <c r="L40" i="1"/>
  <c r="L70" i="1"/>
  <c r="L50" i="1"/>
  <c r="J41" i="1"/>
  <c r="J64" i="1"/>
  <c r="J61" i="1"/>
  <c r="J48" i="1"/>
  <c r="L48" i="1" l="1"/>
  <c r="L75" i="1"/>
  <c r="L64" i="1" s="1"/>
  <c r="L43" i="1"/>
  <c r="L41" i="1" s="1"/>
  <c r="P53" i="1" l="1"/>
  <c r="P51" i="1"/>
  <c r="P55" i="1"/>
  <c r="P49" i="1"/>
  <c r="P63" i="1"/>
  <c r="P40" i="1"/>
  <c r="P56" i="1"/>
  <c r="P54" i="1"/>
  <c r="P70" i="1"/>
  <c r="P62" i="1"/>
  <c r="P73" i="1"/>
  <c r="P58" i="1"/>
  <c r="P60" i="1"/>
  <c r="P75" i="1"/>
  <c r="P76" i="1"/>
  <c r="P41" i="1"/>
  <c r="I79" i="1"/>
  <c r="I78" i="1"/>
  <c r="I75" i="1"/>
  <c r="I73" i="1"/>
  <c r="I65" i="1"/>
  <c r="I64" i="1" s="1"/>
  <c r="I60" i="1"/>
  <c r="I59" i="1"/>
  <c r="I58" i="1"/>
  <c r="R58" i="1" s="1"/>
  <c r="I47" i="1"/>
  <c r="I41" i="1" s="1"/>
  <c r="I11" i="1"/>
  <c r="I33" i="1"/>
  <c r="I32" i="1"/>
  <c r="I31" i="1"/>
  <c r="I25" i="1"/>
  <c r="I19" i="1"/>
  <c r="C10" i="1"/>
  <c r="C23" i="1"/>
  <c r="I23" i="1" s="1"/>
  <c r="C30" i="1"/>
  <c r="I30" i="1" s="1"/>
  <c r="C64" i="1"/>
  <c r="C57" i="1"/>
  <c r="C41" i="1"/>
  <c r="I57" i="1" l="1"/>
  <c r="P64" i="1"/>
  <c r="P57" i="1"/>
  <c r="C36" i="1"/>
  <c r="O80" i="1"/>
  <c r="P48" i="1"/>
  <c r="G83" i="1"/>
  <c r="I26" i="1"/>
  <c r="G36" i="1"/>
  <c r="I17" i="1"/>
  <c r="I27" i="1"/>
  <c r="I16" i="1" l="1"/>
  <c r="P39" i="1" l="1"/>
  <c r="P61" i="1"/>
  <c r="P83" i="1" l="1"/>
  <c r="O75" i="1" l="1"/>
  <c r="N61" i="1"/>
  <c r="O77" i="1"/>
  <c r="O63" i="1"/>
  <c r="O62" i="1"/>
  <c r="O55" i="1"/>
  <c r="O49" i="1"/>
  <c r="O40" i="1"/>
  <c r="I24" i="1"/>
  <c r="O79" i="1"/>
  <c r="O74" i="1"/>
  <c r="O69" i="1"/>
  <c r="O47" i="1"/>
  <c r="O76" i="1"/>
  <c r="O68" i="1"/>
  <c r="O67" i="1"/>
  <c r="O65" i="1"/>
  <c r="O70" i="1" l="1"/>
  <c r="N39" i="1"/>
  <c r="N83" i="1" s="1"/>
  <c r="R83" i="1" s="1"/>
  <c r="L61" i="1"/>
  <c r="L57" i="1"/>
  <c r="J57" i="1"/>
  <c r="L39" i="1"/>
  <c r="J39" i="1"/>
  <c r="I61" i="1"/>
  <c r="C61" i="1"/>
  <c r="C39" i="1"/>
  <c r="F36" i="1"/>
  <c r="I22" i="1"/>
  <c r="I21" i="1"/>
  <c r="I20" i="1"/>
  <c r="I15" i="1"/>
  <c r="I10" i="1"/>
  <c r="I9" i="1"/>
  <c r="I36" i="1" l="1"/>
  <c r="L83" i="1"/>
  <c r="C83" i="1"/>
  <c r="O51" i="1"/>
  <c r="O43" i="1"/>
  <c r="O60" i="1"/>
  <c r="I39" i="1"/>
  <c r="I83" i="1" s="1"/>
  <c r="J83" i="1"/>
  <c r="O42" i="1"/>
  <c r="O58" i="1"/>
  <c r="O53" i="1" l="1"/>
</calcChain>
</file>

<file path=xl/sharedStrings.xml><?xml version="1.0" encoding="utf-8"?>
<sst xmlns="http://schemas.openxmlformats.org/spreadsheetml/2006/main" count="483" uniqueCount="121">
  <si>
    <t>Вид приход</t>
  </si>
  <si>
    <t>§§</t>
  </si>
  <si>
    <t>2021г.</t>
  </si>
  <si>
    <t xml:space="preserve">Очаквани-планирани средства за дофинансиране </t>
  </si>
  <si>
    <t xml:space="preserve">Постъпили средства извън бюджета </t>
  </si>
  <si>
    <t>ОУ"Отец Паисий"–с.Мененкьово, общ.Белово</t>
  </si>
  <si>
    <t>Утвърден със Заповед №.........../................г.</t>
  </si>
  <si>
    <t>Утвърден по компоненти</t>
  </si>
  <si>
    <t>-</t>
  </si>
  <si>
    <t>10-11</t>
  </si>
  <si>
    <t>Занимания по интереси</t>
  </si>
  <si>
    <t>Допълнителни компоненти по формула</t>
  </si>
  <si>
    <t>обезщ.за персонал с х-р на възн-ие обезщетение по чл.224, ал.1 и обезщетение при пенсиониране</t>
  </si>
  <si>
    <t>02-08</t>
  </si>
  <si>
    <t>02-09</t>
  </si>
  <si>
    <t>10-14</t>
  </si>
  <si>
    <t>10-16</t>
  </si>
  <si>
    <t>01-01</t>
  </si>
  <si>
    <t>Уязвими групи</t>
  </si>
  <si>
    <t>05-51</t>
  </si>
  <si>
    <t>05-60</t>
  </si>
  <si>
    <t>05-80</t>
  </si>
  <si>
    <t>10-20</t>
  </si>
  <si>
    <t>10-15</t>
  </si>
  <si>
    <t>Очаквани-планирани средства за дофинансиране</t>
  </si>
  <si>
    <t>проект "Подкрепа за успех"</t>
  </si>
  <si>
    <t>проект "Образование за утрешния ден"</t>
  </si>
  <si>
    <t>проект "Равен достъп до училищно образование в условия на кризи"</t>
  </si>
  <si>
    <t>Всичко приходи:</t>
  </si>
  <si>
    <t>Видове разходи:</t>
  </si>
  <si>
    <t>Вид разход</t>
  </si>
  <si>
    <t>Новопостъпили средства през годината</t>
  </si>
  <si>
    <t>%</t>
  </si>
  <si>
    <t>1.Заплати и възнаграждения</t>
  </si>
  <si>
    <t>Заплати и възнаграждения на персонала нает по тр.правоотношения</t>
  </si>
  <si>
    <t>2.Други възнаграждения и плащания на персонала</t>
  </si>
  <si>
    <t>02-00</t>
  </si>
  <si>
    <t>за персонала по извънтрудови правоотношения</t>
  </si>
  <si>
    <t>02-02</t>
  </si>
  <si>
    <t>разходи за СБКО 3% към ФРЗ 01-01</t>
  </si>
  <si>
    <t>02-05</t>
  </si>
  <si>
    <t>суми с х-р на възнаграждения ДМС 24.05; 15.09; 20.12;</t>
  </si>
  <si>
    <t>3.Осигурителни вноски</t>
  </si>
  <si>
    <t>05-00</t>
  </si>
  <si>
    <t>за ДЗПО-2.8%</t>
  </si>
  <si>
    <t>за ЗО-4.8%</t>
  </si>
  <si>
    <t>за УчПФ-4.3%</t>
  </si>
  <si>
    <t>за ДОО-(13.72%/10.92%+ТЗ 0.5%)</t>
  </si>
  <si>
    <t>4.Проекти</t>
  </si>
  <si>
    <t>05-52</t>
  </si>
  <si>
    <t>5.Други</t>
  </si>
  <si>
    <t xml:space="preserve">Норматив интереси </t>
  </si>
  <si>
    <t>6.Издръжка</t>
  </si>
  <si>
    <t>храна 1-4 клас</t>
  </si>
  <si>
    <t>постелен инвентар и пр.облекло /ЛПС/</t>
  </si>
  <si>
    <t>учебни помагала</t>
  </si>
  <si>
    <t>материали, МТБ</t>
  </si>
  <si>
    <t>вода, горива, енергия</t>
  </si>
  <si>
    <t>р/ди за външни услуги</t>
  </si>
  <si>
    <t>р/ди транспорт -пътни учители 10-20</t>
  </si>
  <si>
    <t>р/ди за квалификация  и преквалификация 1.2% от ФРЗ</t>
  </si>
  <si>
    <t>командировки в страната</t>
  </si>
  <si>
    <t>платени държ.данъци, такси, нак.лихви</t>
  </si>
  <si>
    <t>други р-ди , неквалифицирани в другите параграфи</t>
  </si>
  <si>
    <t>"Спорт в училище"</t>
  </si>
  <si>
    <t>Всичко разходи:</t>
  </si>
  <si>
    <t>10-00</t>
  </si>
  <si>
    <t>10-13</t>
  </si>
  <si>
    <t>10-51</t>
  </si>
  <si>
    <t>19-01</t>
  </si>
  <si>
    <t>10-98</t>
  </si>
  <si>
    <t>......................................</t>
  </si>
  <si>
    <t>Съставил:Илиана Бонжолова</t>
  </si>
  <si>
    <t>...................................</t>
  </si>
  <si>
    <t>/счетоводител/</t>
  </si>
  <si>
    <t xml:space="preserve"> Средства за дофинансиране-второ плащане</t>
  </si>
  <si>
    <t xml:space="preserve"> Средства за дофинансиране-първо плащане</t>
  </si>
  <si>
    <t>НП "Спорт в училище"</t>
  </si>
  <si>
    <t>Възстановени средства за изплащане на допълнително възнаграждение за постигнати резултати от труда на директорите</t>
  </si>
  <si>
    <t>НП "Оптимизация"-обезщ.за персонал с х-р на възн-ие обезщетение по чл.224, ал.1 и обезщетение при пенсиониране</t>
  </si>
  <si>
    <t>Възстановяване % за учебници и уебни тетрадки</t>
  </si>
  <si>
    <t>Текуща издръжка ток, газ, вода</t>
  </si>
  <si>
    <t>Транспортни учители</t>
  </si>
  <si>
    <t>Допълнителни трансфери за осигуряване на ефективни противоепидемични мерки за превенция и ограничаване разпространението  на COVID-19</t>
  </si>
  <si>
    <t>НП "ИКТ 2021"-средства за ел.дневник</t>
  </si>
  <si>
    <t>ДТВ-доп.възнаграждения ДИФ. % от ФРЗ</t>
  </si>
  <si>
    <t>ДТВ за провеждане на тестване на ученици във връзка с превенция разпространение на COVID-19</t>
  </si>
  <si>
    <t>за ДОО-(13.72%/10.92%+ТЗ 0.5%)-върху ДТВ за провеждане на тестване на ученици във връзка с превенция разпространение на COVID-19</t>
  </si>
  <si>
    <t>за УчПФ-4.3%-върху ДТВ за провеждане на тестване на ученици във връзка с превенция разпространение на COVID-19</t>
  </si>
  <si>
    <t>за ЗО-4.8%-върху ДТВ за провеждане на тестване на ученици във връзка с превенция разпространение на COVID-19</t>
  </si>
  <si>
    <t>за ДЗПО-2.8%-върху ДТВ за провеждане на тестване на ученици във връзка с превенция разпространение на COVID-19</t>
  </si>
  <si>
    <t>НП "Рехабилитация на педагогочески специалисти"</t>
  </si>
  <si>
    <t>НП "Рехабилитация на педагогически специалисти"</t>
  </si>
  <si>
    <t xml:space="preserve">             /Директор/</t>
  </si>
  <si>
    <t>материали, закупени във връзка с превенция разпространение на COVID-19</t>
  </si>
  <si>
    <t>2022г.</t>
  </si>
  <si>
    <t>Прех.остатък 2021г.</t>
  </si>
  <si>
    <t>Дофинансиране за 2022г.</t>
  </si>
  <si>
    <t>2021г.+2022г.</t>
  </si>
  <si>
    <t>Преходен остатък 2021г.</t>
  </si>
  <si>
    <t>Бюджет 2022г.+прех.остатък 2021г./без очаквано дофинансиране/</t>
  </si>
  <si>
    <t>31.03.2022г.</t>
  </si>
  <si>
    <t>Бюджет 2022г.</t>
  </si>
  <si>
    <t>10-12</t>
  </si>
  <si>
    <t>медикаменти/бързи антигенни тестове/, закупени във връзка с превенция разпространение на COVID-19</t>
  </si>
  <si>
    <t>52-01</t>
  </si>
  <si>
    <t>Компютри и хардуер -придобиване на ДМА/</t>
  </si>
  <si>
    <t>материали</t>
  </si>
  <si>
    <t>възнаграждения</t>
  </si>
  <si>
    <t>Директор:Бисер Паров</t>
  </si>
  <si>
    <t>30.06.2022г.</t>
  </si>
  <si>
    <t>представително работно облекло педагогически персонал 2022г.</t>
  </si>
  <si>
    <t>30.09.2022г.</t>
  </si>
  <si>
    <t>Придобиване на стопански инвентар</t>
  </si>
  <si>
    <t>52-05</t>
  </si>
  <si>
    <t xml:space="preserve">Получени средства от Община Белово за периода м.01-09/2022г., вкл.за увеличение на стандарти </t>
  </si>
  <si>
    <t>Добавка на ученик за МТБ</t>
  </si>
  <si>
    <t>Добавка за хранене на у-ци ПДГ 1-4кл</t>
  </si>
  <si>
    <t>средства увеличение на стандарти</t>
  </si>
  <si>
    <t>Бюджет 2022г./проект/+прех.остатък 2020г.+очаквано дофинансиране 2022г.</t>
  </si>
  <si>
    <t>План бюджет 2022г./проект/ вкл.увел.стандарти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</si>
</sst>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1" fillId="0" borderId="1" xfId="0" applyFont="1" applyBorder="1"/>
    <xf numFmtId="16" fontId="0" fillId="0" borderId="1" xfId="0" quotePrefix="1" applyNumberForma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quotePrefix="1" applyBorder="1" applyAlignment="1">
      <alignment horizontal="center"/>
    </xf>
    <xf numFmtId="0" fontId="0" fillId="0" borderId="1" xfId="0" quotePrefix="1" applyFont="1" applyBorder="1" applyAlignment="1">
      <alignment horizontal="center" vertical="center"/>
    </xf>
    <xf numFmtId="17" fontId="0" fillId="0" borderId="1" xfId="0" quotePrefix="1" applyNumberFormat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/>
    <xf numFmtId="4" fontId="1" fillId="2" borderId="1" xfId="0" applyNumberFormat="1" applyFont="1" applyFill="1" applyBorder="1"/>
    <xf numFmtId="0" fontId="1" fillId="0" borderId="2" xfId="0" applyFont="1" applyFill="1" applyBorder="1"/>
    <xf numFmtId="0" fontId="1" fillId="2" borderId="1" xfId="0" quotePrefix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1" fontId="1" fillId="2" borderId="1" xfId="0" applyNumberFormat="1" applyFont="1" applyFill="1" applyBorder="1"/>
    <xf numFmtId="4" fontId="0" fillId="0" borderId="0" xfId="0" applyNumberFormat="1"/>
    <xf numFmtId="4" fontId="1" fillId="2" borderId="1" xfId="0" applyNumberFormat="1" applyFont="1" applyFill="1" applyBorder="1" applyAlignment="1">
      <alignment horizontal="right"/>
    </xf>
    <xf numFmtId="0" fontId="0" fillId="3" borderId="1" xfId="0" applyFont="1" applyFill="1" applyBorder="1"/>
    <xf numFmtId="4" fontId="0" fillId="3" borderId="1" xfId="0" applyNumberFormat="1" applyFont="1" applyFill="1" applyBorder="1" applyAlignment="1">
      <alignment horizontal="right"/>
    </xf>
    <xf numFmtId="0" fontId="0" fillId="3" borderId="1" xfId="0" applyFont="1" applyFill="1" applyBorder="1" applyAlignment="1">
      <alignment horizontal="right"/>
    </xf>
    <xf numFmtId="4" fontId="0" fillId="3" borderId="1" xfId="0" applyNumberFormat="1" applyFont="1" applyFill="1" applyBorder="1"/>
    <xf numFmtId="1" fontId="0" fillId="3" borderId="1" xfId="0" applyNumberFormat="1" applyFont="1" applyFill="1" applyBorder="1"/>
    <xf numFmtId="0" fontId="0" fillId="3" borderId="0" xfId="0" applyFont="1" applyFill="1"/>
    <xf numFmtId="0" fontId="1" fillId="3" borderId="1" xfId="0" quotePrefix="1" applyFont="1" applyFill="1" applyBorder="1" applyAlignment="1">
      <alignment horizontal="center"/>
    </xf>
    <xf numFmtId="0" fontId="3" fillId="0" borderId="0" xfId="0" applyFont="1"/>
    <xf numFmtId="4" fontId="3" fillId="0" borderId="0" xfId="0" applyNumberFormat="1" applyFont="1"/>
    <xf numFmtId="4" fontId="0" fillId="3" borderId="1" xfId="0" applyNumberFormat="1" applyFill="1" applyBorder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1" fontId="0" fillId="3" borderId="1" xfId="0" applyNumberFormat="1" applyFill="1" applyBorder="1"/>
    <xf numFmtId="0" fontId="0" fillId="3" borderId="0" xfId="0" applyFill="1"/>
    <xf numFmtId="4" fontId="0" fillId="3" borderId="0" xfId="0" applyNumberFormat="1" applyFill="1"/>
    <xf numFmtId="4" fontId="0" fillId="3" borderId="1" xfId="0" applyNumberFormat="1" applyFill="1" applyBorder="1" applyAlignment="1">
      <alignment horizontal="right"/>
    </xf>
    <xf numFmtId="0" fontId="1" fillId="3" borderId="1" xfId="0" quotePrefix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3" borderId="1" xfId="0" applyFill="1" applyBorder="1" applyAlignment="1">
      <alignment horizontal="left" wrapText="1"/>
    </xf>
    <xf numFmtId="0" fontId="0" fillId="3" borderId="1" xfId="0" applyFont="1" applyFill="1" applyBorder="1" applyAlignment="1">
      <alignment horizontal="left" wrapText="1"/>
    </xf>
    <xf numFmtId="0" fontId="0" fillId="3" borderId="1" xfId="0" applyFill="1" applyBorder="1" applyAlignment="1">
      <alignment horizontal="right" vertical="center"/>
    </xf>
    <xf numFmtId="4" fontId="0" fillId="3" borderId="1" xfId="0" applyNumberFormat="1" applyFill="1" applyBorder="1" applyAlignment="1">
      <alignment horizontal="right" vertical="center"/>
    </xf>
    <xf numFmtId="1" fontId="0" fillId="3" borderId="1" xfId="0" applyNumberFormat="1" applyFill="1" applyBorder="1" applyAlignment="1">
      <alignment horizontal="right" vertical="center"/>
    </xf>
    <xf numFmtId="2" fontId="0" fillId="3" borderId="0" xfId="0" applyNumberFormat="1" applyFill="1"/>
    <xf numFmtId="0" fontId="0" fillId="3" borderId="1" xfId="0" applyFill="1" applyBorder="1" applyAlignment="1">
      <alignment horizontal="left" vertical="center" wrapText="1"/>
    </xf>
    <xf numFmtId="4" fontId="0" fillId="3" borderId="0" xfId="0" applyNumberFormat="1" applyFont="1" applyFill="1"/>
    <xf numFmtId="2" fontId="0" fillId="3" borderId="1" xfId="0" applyNumberFormat="1" applyFont="1" applyFill="1" applyBorder="1"/>
    <xf numFmtId="16" fontId="1" fillId="3" borderId="1" xfId="0" quotePrefix="1" applyNumberFormat="1" applyFont="1" applyFill="1" applyBorder="1" applyAlignment="1">
      <alignment horizontal="center"/>
    </xf>
    <xf numFmtId="10" fontId="0" fillId="3" borderId="1" xfId="0" applyNumberFormat="1" applyFont="1" applyFill="1" applyBorder="1"/>
    <xf numFmtId="2" fontId="0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4" fontId="4" fillId="3" borderId="1" xfId="0" applyNumberFormat="1" applyFont="1" applyFill="1" applyBorder="1"/>
    <xf numFmtId="0" fontId="4" fillId="3" borderId="1" xfId="0" applyFont="1" applyFill="1" applyBorder="1" applyAlignment="1">
      <alignment horizontal="right"/>
    </xf>
    <xf numFmtId="2" fontId="4" fillId="3" borderId="1" xfId="0" applyNumberFormat="1" applyFont="1" applyFill="1" applyBorder="1"/>
    <xf numFmtId="1" fontId="4" fillId="3" borderId="1" xfId="0" applyNumberFormat="1" applyFont="1" applyFill="1" applyBorder="1"/>
    <xf numFmtId="0" fontId="4" fillId="3" borderId="0" xfId="0" applyFont="1" applyFill="1"/>
    <xf numFmtId="17" fontId="1" fillId="3" borderId="1" xfId="0" quotePrefix="1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6" fontId="1" fillId="3" borderId="1" xfId="0" quotePrefix="1" applyNumberFormat="1" applyFont="1" applyFill="1" applyBorder="1" applyAlignment="1">
      <alignment horizontal="center" vertical="center"/>
    </xf>
    <xf numFmtId="4" fontId="0" fillId="3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/>
    </xf>
    <xf numFmtId="0" fontId="0" fillId="3" borderId="1" xfId="0" quotePrefix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2" fontId="0" fillId="3" borderId="1" xfId="0" applyNumberFormat="1" applyFill="1" applyBorder="1" applyAlignment="1">
      <alignment horizontal="right"/>
    </xf>
    <xf numFmtId="2" fontId="0" fillId="3" borderId="1" xfId="0" applyNumberFormat="1" applyFill="1" applyBorder="1"/>
    <xf numFmtId="4" fontId="4" fillId="3" borderId="1" xfId="0" applyNumberFormat="1" applyFont="1" applyFill="1" applyBorder="1" applyAlignment="1">
      <alignment horizontal="right"/>
    </xf>
    <xf numFmtId="2" fontId="0" fillId="3" borderId="0" xfId="0" applyNumberFormat="1" applyFont="1" applyFill="1"/>
    <xf numFmtId="49" fontId="1" fillId="0" borderId="1" xfId="0" applyNumberFormat="1" applyFont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3" xfId="0" applyFont="1" applyFill="1" applyBorder="1" applyAlignment="1">
      <alignment horizontal="center" wrapText="1"/>
    </xf>
    <xf numFmtId="0" fontId="0" fillId="3" borderId="4" xfId="0" applyFont="1" applyFill="1" applyBorder="1" applyAlignment="1">
      <alignment horizontal="center" wrapText="1"/>
    </xf>
    <xf numFmtId="4" fontId="1" fillId="2" borderId="3" xfId="0" applyNumberFormat="1" applyFont="1" applyFill="1" applyBorder="1" applyAlignment="1">
      <alignment horizontal="center" wrapText="1"/>
    </xf>
    <xf numFmtId="4" fontId="1" fillId="2" borderId="4" xfId="0" applyNumberFormat="1" applyFont="1" applyFill="1" applyBorder="1" applyAlignment="1">
      <alignment horizontal="center" wrapText="1"/>
    </xf>
    <xf numFmtId="4" fontId="0" fillId="3" borderId="3" xfId="0" applyNumberFormat="1" applyFill="1" applyBorder="1" applyAlignment="1">
      <alignment horizontal="center" wrapText="1"/>
    </xf>
    <xf numFmtId="4" fontId="0" fillId="3" borderId="4" xfId="0" applyNumberFormat="1" applyFill="1" applyBorder="1" applyAlignment="1">
      <alignment horizont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2"/>
  <sheetViews>
    <sheetView tabSelected="1" view="pageBreakPreview" topLeftCell="B53" zoomScaleNormal="100" zoomScaleSheetLayoutView="100" workbookViewId="0">
      <selection activeCell="D83" sqref="D83:E83"/>
    </sheetView>
  </sheetViews>
  <sheetFormatPr defaultRowHeight="15" x14ac:dyDescent="0.25"/>
  <cols>
    <col min="1" max="1" width="84.140625" customWidth="1"/>
    <col min="2" max="2" width="14" bestFit="1" customWidth="1"/>
    <col min="3" max="3" width="12.85546875" customWidth="1"/>
    <col min="4" max="4" width="12.7109375" customWidth="1"/>
    <col min="5" max="5" width="12.42578125" customWidth="1"/>
    <col min="6" max="6" width="16.5703125" customWidth="1"/>
    <col min="7" max="7" width="12" customWidth="1"/>
    <col min="8" max="8" width="13.140625" customWidth="1"/>
    <col min="9" max="9" width="12.85546875" customWidth="1"/>
    <col min="10" max="10" width="15.5703125" customWidth="1"/>
    <col min="11" max="11" width="9.140625" hidden="1" customWidth="1"/>
    <col min="12" max="12" width="17.42578125" customWidth="1"/>
    <col min="13" max="13" width="4.28515625" hidden="1" customWidth="1"/>
    <col min="14" max="14" width="21.42578125" customWidth="1"/>
    <col min="15" max="15" width="9.5703125" hidden="1" customWidth="1"/>
    <col min="16" max="16" width="14" hidden="1" customWidth="1"/>
    <col min="17" max="17" width="7.5703125" hidden="1" customWidth="1"/>
    <col min="18" max="18" width="12" bestFit="1" customWidth="1"/>
    <col min="19" max="19" width="15.42578125" customWidth="1"/>
    <col min="20" max="20" width="20.85546875" customWidth="1"/>
  </cols>
  <sheetData>
    <row r="1" spans="1:9" x14ac:dyDescent="0.25">
      <c r="D1" s="96" t="s">
        <v>6</v>
      </c>
      <c r="E1" s="96"/>
      <c r="F1" s="96"/>
      <c r="G1" s="96"/>
      <c r="H1" s="96"/>
      <c r="I1" s="96"/>
    </row>
    <row r="3" spans="1:9" x14ac:dyDescent="0.25">
      <c r="A3" s="95" t="s">
        <v>102</v>
      </c>
      <c r="B3" s="95"/>
      <c r="C3" s="95"/>
      <c r="D3" s="95"/>
      <c r="E3" s="95"/>
      <c r="F3" s="95"/>
      <c r="G3" s="95"/>
      <c r="H3" s="95"/>
      <c r="I3" s="95"/>
    </row>
    <row r="4" spans="1:9" x14ac:dyDescent="0.25">
      <c r="A4" s="95" t="s">
        <v>5</v>
      </c>
      <c r="B4" s="95"/>
      <c r="C4" s="95"/>
      <c r="D4" s="95"/>
      <c r="E4" s="95"/>
      <c r="F4" s="95"/>
      <c r="G4" s="95"/>
      <c r="H4" s="95"/>
      <c r="I4" s="95"/>
    </row>
    <row r="5" spans="1:9" x14ac:dyDescent="0.25">
      <c r="A5" s="5"/>
      <c r="B5" s="5"/>
      <c r="C5" s="5"/>
      <c r="D5" s="5"/>
      <c r="E5" s="5"/>
      <c r="F5" s="5"/>
    </row>
    <row r="7" spans="1:9" x14ac:dyDescent="0.25">
      <c r="C7" s="2" t="s">
        <v>2</v>
      </c>
      <c r="D7" s="2" t="s">
        <v>95</v>
      </c>
      <c r="E7" s="2"/>
      <c r="H7" s="2" t="s">
        <v>95</v>
      </c>
      <c r="I7" s="2" t="s">
        <v>98</v>
      </c>
    </row>
    <row r="8" spans="1:9" ht="165" x14ac:dyDescent="0.25">
      <c r="A8" s="3" t="s">
        <v>0</v>
      </c>
      <c r="B8" s="4" t="s">
        <v>1</v>
      </c>
      <c r="C8" s="4" t="s">
        <v>96</v>
      </c>
      <c r="D8" s="4" t="s">
        <v>120</v>
      </c>
      <c r="E8" s="79" t="s">
        <v>115</v>
      </c>
      <c r="F8" s="4" t="s">
        <v>3</v>
      </c>
      <c r="G8" s="4" t="s">
        <v>97</v>
      </c>
      <c r="H8" s="4" t="s">
        <v>4</v>
      </c>
      <c r="I8" s="4" t="s">
        <v>119</v>
      </c>
    </row>
    <row r="9" spans="1:9" x14ac:dyDescent="0.25">
      <c r="A9" s="11" t="s">
        <v>7</v>
      </c>
      <c r="B9" s="7" t="s">
        <v>8</v>
      </c>
      <c r="C9" s="7" t="s">
        <v>8</v>
      </c>
      <c r="D9" s="10">
        <f>51762+5072+174500+17098+5428+548</f>
        <v>254408</v>
      </c>
      <c r="E9" s="10"/>
      <c r="F9" s="8" t="s">
        <v>8</v>
      </c>
      <c r="G9" s="8" t="s">
        <v>8</v>
      </c>
      <c r="H9" s="8" t="s">
        <v>8</v>
      </c>
      <c r="I9" s="10">
        <f>D9</f>
        <v>254408</v>
      </c>
    </row>
    <row r="10" spans="1:9" x14ac:dyDescent="0.25">
      <c r="A10" s="11" t="s">
        <v>99</v>
      </c>
      <c r="B10" s="8" t="s">
        <v>8</v>
      </c>
      <c r="C10" s="10">
        <f>9989.91+1.31+973.9+235.2</f>
        <v>11200.32</v>
      </c>
      <c r="D10" s="8" t="s">
        <v>8</v>
      </c>
      <c r="E10" s="8"/>
      <c r="F10" s="8" t="s">
        <v>8</v>
      </c>
      <c r="G10" s="8" t="s">
        <v>8</v>
      </c>
      <c r="H10" s="8" t="s">
        <v>8</v>
      </c>
      <c r="I10" s="6">
        <f>C10</f>
        <v>11200.32</v>
      </c>
    </row>
    <row r="11" spans="1:9" x14ac:dyDescent="0.25">
      <c r="A11" s="11" t="s">
        <v>116</v>
      </c>
      <c r="B11" s="8" t="s">
        <v>8</v>
      </c>
      <c r="C11" s="7" t="s">
        <v>8</v>
      </c>
      <c r="D11" s="10">
        <f>231.25+832.5+74</f>
        <v>1137.75</v>
      </c>
      <c r="E11" s="8"/>
      <c r="F11" s="8" t="s">
        <v>8</v>
      </c>
      <c r="G11" s="8" t="s">
        <v>8</v>
      </c>
      <c r="H11" s="8" t="s">
        <v>8</v>
      </c>
      <c r="I11" s="10">
        <f>D11</f>
        <v>1137.75</v>
      </c>
    </row>
    <row r="12" spans="1:9" x14ac:dyDescent="0.25">
      <c r="A12" s="11" t="s">
        <v>117</v>
      </c>
      <c r="B12" s="12" t="s">
        <v>9</v>
      </c>
      <c r="C12" s="6">
        <v>624.03</v>
      </c>
      <c r="D12" s="42">
        <f>517+2541+352</f>
        <v>3410</v>
      </c>
      <c r="E12" s="10"/>
      <c r="F12" s="8" t="s">
        <v>8</v>
      </c>
      <c r="G12" s="8" t="s">
        <v>8</v>
      </c>
      <c r="H12" s="8" t="s">
        <v>8</v>
      </c>
      <c r="I12" s="10">
        <f>C12+D12</f>
        <v>4034.0299999999997</v>
      </c>
    </row>
    <row r="13" spans="1:9" x14ac:dyDescent="0.25">
      <c r="A13" s="11" t="s">
        <v>10</v>
      </c>
      <c r="B13" s="8" t="s">
        <v>8</v>
      </c>
      <c r="C13" s="10">
        <v>2469.16</v>
      </c>
      <c r="D13" s="10">
        <f>475+1575+43</f>
        <v>2093</v>
      </c>
      <c r="E13" s="10"/>
      <c r="F13" s="8" t="s">
        <v>8</v>
      </c>
      <c r="G13" s="8" t="s">
        <v>8</v>
      </c>
      <c r="H13" s="8" t="s">
        <v>8</v>
      </c>
      <c r="I13" s="10">
        <f>C13+D13</f>
        <v>4562.16</v>
      </c>
    </row>
    <row r="14" spans="1:9" x14ac:dyDescent="0.25">
      <c r="A14" s="11" t="s">
        <v>51</v>
      </c>
      <c r="B14" s="8" t="s">
        <v>8</v>
      </c>
      <c r="C14" s="10">
        <v>1127.07</v>
      </c>
      <c r="D14" s="10">
        <f>277.5+915.75+37</f>
        <v>1230.25</v>
      </c>
      <c r="E14" s="10"/>
      <c r="F14" s="8" t="s">
        <v>8</v>
      </c>
      <c r="G14" s="8" t="s">
        <v>8</v>
      </c>
      <c r="H14" s="8" t="s">
        <v>8</v>
      </c>
      <c r="I14" s="10">
        <f>C14+D14</f>
        <v>2357.3199999999997</v>
      </c>
    </row>
    <row r="15" spans="1:9" x14ac:dyDescent="0.25">
      <c r="A15" s="11" t="s">
        <v>11</v>
      </c>
      <c r="B15" s="8" t="s">
        <v>8</v>
      </c>
      <c r="C15" s="7" t="s">
        <v>8</v>
      </c>
      <c r="D15" s="8" t="s">
        <v>8</v>
      </c>
      <c r="E15" s="8"/>
      <c r="F15" s="8" t="s">
        <v>8</v>
      </c>
      <c r="G15" s="8" t="s">
        <v>8</v>
      </c>
      <c r="H15" s="8" t="s">
        <v>8</v>
      </c>
      <c r="I15" s="10" t="str">
        <f>D15</f>
        <v>-</v>
      </c>
    </row>
    <row r="16" spans="1:9" ht="30" x14ac:dyDescent="0.25">
      <c r="A16" s="13" t="s">
        <v>79</v>
      </c>
      <c r="B16" s="15" t="s">
        <v>13</v>
      </c>
      <c r="C16" s="7" t="s">
        <v>8</v>
      </c>
      <c r="D16" s="8" t="s">
        <v>8</v>
      </c>
      <c r="E16" s="8"/>
      <c r="F16" s="8" t="s">
        <v>8</v>
      </c>
      <c r="G16" s="8" t="s">
        <v>8</v>
      </c>
      <c r="H16" s="8" t="s">
        <v>8</v>
      </c>
      <c r="I16" s="10" t="str">
        <f>H16</f>
        <v>-</v>
      </c>
    </row>
    <row r="17" spans="1:17" ht="30" x14ac:dyDescent="0.25">
      <c r="A17" s="45" t="s">
        <v>78</v>
      </c>
      <c r="B17" s="46" t="s">
        <v>14</v>
      </c>
      <c r="C17" s="7" t="s">
        <v>8</v>
      </c>
      <c r="D17" s="8" t="s">
        <v>8</v>
      </c>
      <c r="E17" s="8"/>
      <c r="F17" s="8" t="s">
        <v>8</v>
      </c>
      <c r="G17" s="8" t="s">
        <v>8</v>
      </c>
      <c r="H17" s="8" t="s">
        <v>8</v>
      </c>
      <c r="I17" s="10" t="str">
        <f>H17</f>
        <v>-</v>
      </c>
    </row>
    <row r="18" spans="1:17" x14ac:dyDescent="0.25">
      <c r="A18" s="11" t="s">
        <v>80</v>
      </c>
      <c r="B18" s="16" t="s">
        <v>15</v>
      </c>
      <c r="C18" s="6">
        <v>628.09</v>
      </c>
      <c r="D18" s="8" t="s">
        <v>8</v>
      </c>
      <c r="E18" s="8"/>
      <c r="F18" s="8" t="s">
        <v>8</v>
      </c>
      <c r="G18" s="8" t="s">
        <v>8</v>
      </c>
      <c r="H18" s="10">
        <v>1851</v>
      </c>
      <c r="I18" s="10">
        <f>C18+H18</f>
        <v>2479.09</v>
      </c>
    </row>
    <row r="19" spans="1:17" x14ac:dyDescent="0.25">
      <c r="A19" s="11" t="s">
        <v>81</v>
      </c>
      <c r="B19" s="14" t="s">
        <v>16</v>
      </c>
      <c r="C19" s="10">
        <v>34.92</v>
      </c>
      <c r="D19" s="8" t="s">
        <v>8</v>
      </c>
      <c r="E19" s="8"/>
      <c r="F19" s="8" t="s">
        <v>8</v>
      </c>
      <c r="G19" s="8" t="s">
        <v>8</v>
      </c>
      <c r="H19" s="8" t="s">
        <v>8</v>
      </c>
      <c r="I19" s="10">
        <f>C19</f>
        <v>34.92</v>
      </c>
      <c r="L19" s="25"/>
    </row>
    <row r="20" spans="1:17" x14ac:dyDescent="0.25">
      <c r="A20" s="11" t="s">
        <v>18</v>
      </c>
      <c r="B20" s="14" t="s">
        <v>17</v>
      </c>
      <c r="C20" s="7" t="s">
        <v>8</v>
      </c>
      <c r="D20" s="8" t="s">
        <v>8</v>
      </c>
      <c r="E20" s="8"/>
      <c r="F20" s="8" t="s">
        <v>8</v>
      </c>
      <c r="G20" s="8" t="s">
        <v>8</v>
      </c>
      <c r="H20" s="10">
        <v>8073</v>
      </c>
      <c r="I20" s="10">
        <f>H20</f>
        <v>8073</v>
      </c>
    </row>
    <row r="21" spans="1:17" x14ac:dyDescent="0.25">
      <c r="A21" s="11" t="s">
        <v>18</v>
      </c>
      <c r="B21" s="14" t="s">
        <v>19</v>
      </c>
      <c r="C21" s="7" t="s">
        <v>8</v>
      </c>
      <c r="D21" s="8" t="s">
        <v>8</v>
      </c>
      <c r="E21" s="8"/>
      <c r="F21" s="8" t="s">
        <v>8</v>
      </c>
      <c r="G21" s="8" t="s">
        <v>8</v>
      </c>
      <c r="H21" s="10">
        <f>1500-200</f>
        <v>1300</v>
      </c>
      <c r="I21" s="10">
        <f>H21</f>
        <v>1300</v>
      </c>
    </row>
    <row r="22" spans="1:17" x14ac:dyDescent="0.25">
      <c r="A22" s="11" t="s">
        <v>18</v>
      </c>
      <c r="B22" s="14" t="s">
        <v>20</v>
      </c>
      <c r="C22" s="7" t="s">
        <v>8</v>
      </c>
      <c r="D22" s="8" t="s">
        <v>8</v>
      </c>
      <c r="E22" s="8"/>
      <c r="F22" s="8" t="s">
        <v>8</v>
      </c>
      <c r="G22" s="8" t="s">
        <v>8</v>
      </c>
      <c r="H22" s="9">
        <f>383+200</f>
        <v>583</v>
      </c>
      <c r="I22" s="10">
        <f>H22</f>
        <v>583</v>
      </c>
    </row>
    <row r="23" spans="1:17" x14ac:dyDescent="0.25">
      <c r="A23" s="11" t="s">
        <v>82</v>
      </c>
      <c r="B23" s="14" t="s">
        <v>22</v>
      </c>
      <c r="C23" s="6">
        <f>1609.48</f>
        <v>1609.48</v>
      </c>
      <c r="D23" s="8" t="s">
        <v>8</v>
      </c>
      <c r="E23" s="8"/>
      <c r="F23" s="8" t="s">
        <v>8</v>
      </c>
      <c r="G23" s="8" t="s">
        <v>8</v>
      </c>
      <c r="H23" s="10">
        <v>1940</v>
      </c>
      <c r="I23" s="10">
        <f>C23+H23</f>
        <v>3549.48</v>
      </c>
    </row>
    <row r="24" spans="1:17" x14ac:dyDescent="0.25">
      <c r="A24" s="11" t="s">
        <v>77</v>
      </c>
      <c r="B24" s="16" t="s">
        <v>23</v>
      </c>
      <c r="C24" s="7" t="s">
        <v>8</v>
      </c>
      <c r="D24" s="8" t="s">
        <v>8</v>
      </c>
      <c r="E24" s="8"/>
      <c r="F24" s="8" t="s">
        <v>8</v>
      </c>
      <c r="G24" s="8" t="s">
        <v>8</v>
      </c>
      <c r="H24" s="10">
        <v>190</v>
      </c>
      <c r="I24" s="9">
        <f>H24</f>
        <v>190</v>
      </c>
    </row>
    <row r="25" spans="1:17" x14ac:dyDescent="0.25">
      <c r="A25" s="11" t="s">
        <v>92</v>
      </c>
      <c r="B25" s="16" t="s">
        <v>22</v>
      </c>
      <c r="C25" s="10">
        <v>100</v>
      </c>
      <c r="D25" s="8" t="s">
        <v>8</v>
      </c>
      <c r="E25" s="8"/>
      <c r="F25" s="8" t="s">
        <v>8</v>
      </c>
      <c r="G25" s="8" t="s">
        <v>8</v>
      </c>
      <c r="H25" s="8" t="s">
        <v>8</v>
      </c>
      <c r="I25" s="9">
        <f>C25</f>
        <v>100</v>
      </c>
    </row>
    <row r="26" spans="1:17" x14ac:dyDescent="0.25">
      <c r="A26" s="11" t="s">
        <v>84</v>
      </c>
      <c r="B26" s="16" t="s">
        <v>22</v>
      </c>
      <c r="C26" s="7" t="s">
        <v>8</v>
      </c>
      <c r="D26" s="8" t="s">
        <v>8</v>
      </c>
      <c r="E26" s="8"/>
      <c r="F26" s="8"/>
      <c r="G26" s="8"/>
      <c r="H26" s="8" t="s">
        <v>8</v>
      </c>
      <c r="I26" s="9" t="str">
        <f>H26</f>
        <v>-</v>
      </c>
    </row>
    <row r="27" spans="1:17" ht="30" x14ac:dyDescent="0.25">
      <c r="A27" s="44" t="s">
        <v>83</v>
      </c>
      <c r="B27" s="8" t="s">
        <v>8</v>
      </c>
      <c r="C27" s="7" t="s">
        <v>8</v>
      </c>
      <c r="D27" s="8" t="s">
        <v>8</v>
      </c>
      <c r="E27" s="8"/>
      <c r="F27" s="8" t="s">
        <v>8</v>
      </c>
      <c r="G27" s="8" t="s">
        <v>8</v>
      </c>
      <c r="H27" s="8" t="s">
        <v>8</v>
      </c>
      <c r="I27" s="9" t="str">
        <f>H27</f>
        <v>-</v>
      </c>
    </row>
    <row r="28" spans="1:17" x14ac:dyDescent="0.25">
      <c r="A28" s="11" t="s">
        <v>24</v>
      </c>
      <c r="B28" s="8" t="s">
        <v>8</v>
      </c>
      <c r="C28" s="7" t="s">
        <v>8</v>
      </c>
      <c r="D28" s="8" t="s">
        <v>8</v>
      </c>
      <c r="E28" s="8"/>
      <c r="F28" s="6"/>
      <c r="G28" s="8" t="s">
        <v>8</v>
      </c>
      <c r="H28" s="8" t="s">
        <v>8</v>
      </c>
      <c r="I28" s="8" t="s">
        <v>8</v>
      </c>
    </row>
    <row r="29" spans="1:17" x14ac:dyDescent="0.25">
      <c r="A29" s="11" t="s">
        <v>76</v>
      </c>
      <c r="B29" s="8" t="s">
        <v>8</v>
      </c>
      <c r="C29" s="7" t="s">
        <v>8</v>
      </c>
      <c r="D29" s="8" t="s">
        <v>8</v>
      </c>
      <c r="E29" s="8"/>
      <c r="F29" s="8" t="s">
        <v>8</v>
      </c>
      <c r="G29" s="6"/>
      <c r="H29" s="8" t="s">
        <v>8</v>
      </c>
      <c r="I29" s="8" t="s">
        <v>8</v>
      </c>
    </row>
    <row r="30" spans="1:17" x14ac:dyDescent="0.25">
      <c r="A30" s="11" t="s">
        <v>75</v>
      </c>
      <c r="B30" s="8" t="s">
        <v>8</v>
      </c>
      <c r="C30" s="10">
        <f>895.7+12896.68</f>
        <v>13792.380000000001</v>
      </c>
      <c r="D30" s="8" t="s">
        <v>8</v>
      </c>
      <c r="E30" s="8"/>
      <c r="F30" s="8" t="s">
        <v>8</v>
      </c>
      <c r="G30" s="6"/>
      <c r="H30" s="8" t="s">
        <v>8</v>
      </c>
      <c r="I30" s="6">
        <f>C30</f>
        <v>13792.380000000001</v>
      </c>
      <c r="L30" s="25"/>
      <c r="N30" s="25"/>
    </row>
    <row r="31" spans="1:17" x14ac:dyDescent="0.25">
      <c r="A31" s="11" t="s">
        <v>25</v>
      </c>
      <c r="B31" s="8" t="s">
        <v>8</v>
      </c>
      <c r="C31" s="10">
        <v>7115.3</v>
      </c>
      <c r="D31" s="8" t="s">
        <v>8</v>
      </c>
      <c r="E31" s="8"/>
      <c r="F31" s="8" t="s">
        <v>8</v>
      </c>
      <c r="G31" s="8" t="s">
        <v>8</v>
      </c>
      <c r="H31" s="8" t="s">
        <v>8</v>
      </c>
      <c r="I31" s="6">
        <f>C31</f>
        <v>7115.3</v>
      </c>
    </row>
    <row r="32" spans="1:17" x14ac:dyDescent="0.25">
      <c r="A32" s="11" t="s">
        <v>26</v>
      </c>
      <c r="B32" s="8" t="s">
        <v>8</v>
      </c>
      <c r="C32" s="6">
        <v>8.25</v>
      </c>
      <c r="D32" s="8" t="s">
        <v>8</v>
      </c>
      <c r="E32" s="8"/>
      <c r="F32" s="8" t="s">
        <v>8</v>
      </c>
      <c r="G32" s="8" t="s">
        <v>8</v>
      </c>
      <c r="H32" s="8" t="s">
        <v>8</v>
      </c>
      <c r="I32" s="6">
        <f>C32</f>
        <v>8.25</v>
      </c>
      <c r="P32" s="25"/>
      <c r="Q32" s="25"/>
    </row>
    <row r="33" spans="1:19" x14ac:dyDescent="0.25">
      <c r="A33" s="11" t="s">
        <v>27</v>
      </c>
      <c r="B33" s="8" t="s">
        <v>8</v>
      </c>
      <c r="C33" s="10">
        <v>59.64</v>
      </c>
      <c r="D33" s="8" t="s">
        <v>8</v>
      </c>
      <c r="E33" s="8"/>
      <c r="F33" s="8" t="s">
        <v>8</v>
      </c>
      <c r="G33" s="8" t="s">
        <v>8</v>
      </c>
      <c r="H33" s="8" t="s">
        <v>8</v>
      </c>
      <c r="I33" s="9">
        <f>C33</f>
        <v>59.64</v>
      </c>
      <c r="L33" s="25"/>
      <c r="N33" s="25"/>
      <c r="P33" s="25"/>
      <c r="Q33" s="25"/>
    </row>
    <row r="34" spans="1:19" x14ac:dyDescent="0.25">
      <c r="A34" s="11" t="s">
        <v>118</v>
      </c>
      <c r="B34" s="8"/>
      <c r="C34" s="10"/>
      <c r="D34" s="8"/>
      <c r="E34" s="10">
        <v>3241</v>
      </c>
      <c r="F34" s="8"/>
      <c r="G34" s="8"/>
      <c r="H34" s="10"/>
      <c r="I34" s="10">
        <f>H34</f>
        <v>0</v>
      </c>
      <c r="J34" s="25"/>
      <c r="N34" s="25"/>
      <c r="P34" s="25"/>
      <c r="Q34" s="25"/>
    </row>
    <row r="35" spans="1:19" ht="30" x14ac:dyDescent="0.25">
      <c r="A35" s="78" t="s">
        <v>115</v>
      </c>
      <c r="B35" s="8" t="s">
        <v>8</v>
      </c>
      <c r="C35" s="8" t="s">
        <v>8</v>
      </c>
      <c r="D35" s="8" t="s">
        <v>8</v>
      </c>
      <c r="E35" s="10">
        <f>246698.64-H36</f>
        <v>232761.64</v>
      </c>
      <c r="F35" s="8" t="s">
        <v>8</v>
      </c>
      <c r="G35" s="8" t="s">
        <v>8</v>
      </c>
      <c r="H35" s="8" t="s">
        <v>8</v>
      </c>
      <c r="I35" s="10" t="s">
        <v>8</v>
      </c>
      <c r="L35" s="25"/>
      <c r="N35" s="25"/>
      <c r="P35" s="25"/>
      <c r="Q35" s="25"/>
    </row>
    <row r="36" spans="1:19" x14ac:dyDescent="0.25">
      <c r="A36" s="18" t="s">
        <v>28</v>
      </c>
      <c r="B36" s="17"/>
      <c r="C36" s="19">
        <f>C10+C12+C13+C14+C18+C19+C23+C25+C30+C31+C32+C33</f>
        <v>38768.639999999999</v>
      </c>
      <c r="D36" s="26">
        <f>D9+D11+D12+D13+D14</f>
        <v>262279</v>
      </c>
      <c r="E36" s="19">
        <f>E35</f>
        <v>232761.64</v>
      </c>
      <c r="F36" s="19">
        <f>F28</f>
        <v>0</v>
      </c>
      <c r="G36" s="19">
        <f>G29+G30</f>
        <v>0</v>
      </c>
      <c r="H36" s="19">
        <f>SUM(H9:H35)</f>
        <v>13937</v>
      </c>
      <c r="I36" s="19">
        <f>I9+I10+I11+I12+I13+I14+I18+I19+I20+I21+I22+I23+I24+I25+I30+I31+I32+I33</f>
        <v>314984.64</v>
      </c>
      <c r="J36" s="25"/>
      <c r="L36" s="25"/>
      <c r="N36" s="25"/>
      <c r="P36" s="25"/>
      <c r="Q36" s="25"/>
    </row>
    <row r="37" spans="1:19" x14ac:dyDescent="0.25">
      <c r="A37" s="20" t="s">
        <v>29</v>
      </c>
    </row>
    <row r="38" spans="1:19" ht="105" x14ac:dyDescent="0.25">
      <c r="A38" s="3" t="s">
        <v>30</v>
      </c>
      <c r="B38" s="3" t="s">
        <v>1</v>
      </c>
      <c r="C38" s="4" t="s">
        <v>96</v>
      </c>
      <c r="D38" s="97" t="s">
        <v>120</v>
      </c>
      <c r="E38" s="98"/>
      <c r="F38" s="4" t="s">
        <v>3</v>
      </c>
      <c r="G38" s="4" t="s">
        <v>97</v>
      </c>
      <c r="H38" s="4" t="s">
        <v>31</v>
      </c>
      <c r="I38" s="4" t="s">
        <v>100</v>
      </c>
      <c r="J38" s="4" t="s">
        <v>101</v>
      </c>
      <c r="K38" s="4" t="s">
        <v>32</v>
      </c>
      <c r="L38" s="4" t="s">
        <v>110</v>
      </c>
      <c r="M38" s="4" t="s">
        <v>32</v>
      </c>
      <c r="N38" s="4" t="s">
        <v>112</v>
      </c>
      <c r="O38" s="4" t="s">
        <v>32</v>
      </c>
      <c r="P38" s="4" t="s">
        <v>101</v>
      </c>
      <c r="Q38" s="4" t="s">
        <v>32</v>
      </c>
    </row>
    <row r="39" spans="1:19" x14ac:dyDescent="0.25">
      <c r="A39" s="18" t="s">
        <v>33</v>
      </c>
      <c r="B39" s="17"/>
      <c r="C39" s="19">
        <f>C40</f>
        <v>9989.91</v>
      </c>
      <c r="D39" s="84">
        <v>182000</v>
      </c>
      <c r="E39" s="85"/>
      <c r="F39" s="19">
        <v>0</v>
      </c>
      <c r="G39" s="67">
        <v>0</v>
      </c>
      <c r="H39" s="19">
        <f>H40</f>
        <v>8073</v>
      </c>
      <c r="I39" s="19">
        <f>C39+D39+H39</f>
        <v>200062.91</v>
      </c>
      <c r="J39" s="19">
        <f>J40</f>
        <v>39657.300000000003</v>
      </c>
      <c r="K39" s="18"/>
      <c r="L39" s="73">
        <f>L40</f>
        <v>83953.09</v>
      </c>
      <c r="M39" s="18"/>
      <c r="N39" s="19">
        <f>N40</f>
        <v>128966.55</v>
      </c>
      <c r="O39" s="18"/>
      <c r="P39" s="19">
        <f>P40</f>
        <v>39657.300000000003</v>
      </c>
      <c r="Q39" s="19"/>
    </row>
    <row r="40" spans="1:19" s="40" customFormat="1" x14ac:dyDescent="0.25">
      <c r="A40" s="37" t="s">
        <v>34</v>
      </c>
      <c r="B40" s="33" t="s">
        <v>17</v>
      </c>
      <c r="C40" s="36">
        <v>9989.91</v>
      </c>
      <c r="D40" s="86">
        <v>182000</v>
      </c>
      <c r="E40" s="87"/>
      <c r="F40" s="38" t="s">
        <v>8</v>
      </c>
      <c r="G40" s="38" t="s">
        <v>8</v>
      </c>
      <c r="H40" s="42">
        <v>8073</v>
      </c>
      <c r="I40" s="36">
        <f>C40+H40+D40</f>
        <v>200062.91</v>
      </c>
      <c r="J40" s="36">
        <v>39657.300000000003</v>
      </c>
      <c r="K40" s="39"/>
      <c r="L40" s="42">
        <f>84985.09-912-120</f>
        <v>83953.09</v>
      </c>
      <c r="M40" s="39"/>
      <c r="N40" s="36">
        <f>129998.05-912-120+0.5</f>
        <v>128966.55</v>
      </c>
      <c r="O40" s="39">
        <f>N40/I40*100</f>
        <v>64.462998163927537</v>
      </c>
      <c r="P40" s="36">
        <f>40269.3-612</f>
        <v>39657.300000000003</v>
      </c>
      <c r="Q40" s="36"/>
    </row>
    <row r="41" spans="1:19" ht="18" customHeight="1" x14ac:dyDescent="0.25">
      <c r="A41" s="18" t="s">
        <v>35</v>
      </c>
      <c r="B41" s="21" t="s">
        <v>36</v>
      </c>
      <c r="C41" s="23">
        <f>C47</f>
        <v>1.31</v>
      </c>
      <c r="D41" s="84">
        <f>D44+D45+D42+D43</f>
        <v>21067</v>
      </c>
      <c r="E41" s="85"/>
      <c r="F41" s="67">
        <v>0</v>
      </c>
      <c r="G41" s="67">
        <v>0</v>
      </c>
      <c r="H41" s="26">
        <v>0</v>
      </c>
      <c r="I41" s="19">
        <f>I42+I43+I44+I45+I47</f>
        <v>21068.31</v>
      </c>
      <c r="J41" s="19">
        <f>J42+J43+J46</f>
        <v>3343.26</v>
      </c>
      <c r="K41" s="18"/>
      <c r="L41" s="73">
        <f>L42+L43+L46</f>
        <v>4961.79</v>
      </c>
      <c r="M41" s="18"/>
      <c r="N41" s="19">
        <f>N42+N43+N44+N45+N46+N47</f>
        <v>15737.3</v>
      </c>
      <c r="O41" s="18"/>
      <c r="P41" s="19">
        <f>P42+P43+P46</f>
        <v>3343.26</v>
      </c>
      <c r="Q41" s="19"/>
    </row>
    <row r="42" spans="1:19" s="40" customFormat="1" x14ac:dyDescent="0.25">
      <c r="A42" s="37" t="s">
        <v>37</v>
      </c>
      <c r="B42" s="33" t="s">
        <v>38</v>
      </c>
      <c r="C42" s="38" t="s">
        <v>8</v>
      </c>
      <c r="D42" s="86">
        <v>5591</v>
      </c>
      <c r="E42" s="87"/>
      <c r="F42" s="38" t="s">
        <v>8</v>
      </c>
      <c r="G42" s="38" t="s">
        <v>8</v>
      </c>
      <c r="H42" s="38" t="s">
        <v>8</v>
      </c>
      <c r="I42" s="42">
        <f>D42</f>
        <v>5591</v>
      </c>
      <c r="J42" s="36">
        <v>1991.06</v>
      </c>
      <c r="K42" s="37"/>
      <c r="L42" s="42">
        <v>2891.06</v>
      </c>
      <c r="M42" s="37"/>
      <c r="N42" s="36">
        <v>3754.61</v>
      </c>
      <c r="O42" s="37">
        <f>N42/I42*100</f>
        <v>67.154534072616713</v>
      </c>
      <c r="P42" s="36">
        <v>1991.06</v>
      </c>
      <c r="Q42" s="36"/>
    </row>
    <row r="43" spans="1:19" s="40" customFormat="1" x14ac:dyDescent="0.25">
      <c r="A43" s="37" t="s">
        <v>39</v>
      </c>
      <c r="B43" s="33" t="s">
        <v>40</v>
      </c>
      <c r="C43" s="38" t="s">
        <v>8</v>
      </c>
      <c r="D43" s="86">
        <v>5460</v>
      </c>
      <c r="E43" s="87"/>
      <c r="F43" s="38" t="s">
        <v>8</v>
      </c>
      <c r="G43" s="38" t="s">
        <v>8</v>
      </c>
      <c r="H43" s="38" t="s">
        <v>8</v>
      </c>
      <c r="I43" s="42">
        <f>D43</f>
        <v>5460</v>
      </c>
      <c r="J43" s="75">
        <v>672.2</v>
      </c>
      <c r="K43" s="37"/>
      <c r="L43" s="42">
        <f>1471.37-80.64</f>
        <v>1390.7299999999998</v>
      </c>
      <c r="M43" s="39"/>
      <c r="N43" s="36">
        <f>1941.69-80.64</f>
        <v>1861.05</v>
      </c>
      <c r="O43" s="39">
        <f>N43/I43*100</f>
        <v>34.085164835164832</v>
      </c>
      <c r="P43" s="36">
        <v>672.2</v>
      </c>
      <c r="Q43" s="36"/>
      <c r="R43" s="41"/>
    </row>
    <row r="44" spans="1:19" s="40" customFormat="1" x14ac:dyDescent="0.25">
      <c r="A44" s="37" t="s">
        <v>41</v>
      </c>
      <c r="B44" s="33" t="s">
        <v>14</v>
      </c>
      <c r="C44" s="38" t="s">
        <v>8</v>
      </c>
      <c r="D44" s="86">
        <v>3000</v>
      </c>
      <c r="E44" s="87"/>
      <c r="F44" s="38" t="s">
        <v>8</v>
      </c>
      <c r="G44" s="38" t="s">
        <v>8</v>
      </c>
      <c r="H44" s="38" t="s">
        <v>8</v>
      </c>
      <c r="I44" s="42">
        <f>D44</f>
        <v>3000</v>
      </c>
      <c r="J44" s="38" t="s">
        <v>8</v>
      </c>
      <c r="K44" s="38" t="s">
        <v>8</v>
      </c>
      <c r="L44" s="38" t="s">
        <v>8</v>
      </c>
      <c r="M44" s="38" t="s">
        <v>8</v>
      </c>
      <c r="N44" s="42">
        <v>1450</v>
      </c>
      <c r="O44" s="38" t="s">
        <v>8</v>
      </c>
      <c r="P44" s="38" t="s">
        <v>8</v>
      </c>
      <c r="Q44" s="38" t="s">
        <v>8</v>
      </c>
    </row>
    <row r="45" spans="1:19" s="40" customFormat="1" x14ac:dyDescent="0.25">
      <c r="A45" s="37" t="s">
        <v>85</v>
      </c>
      <c r="B45" s="33" t="s">
        <v>14</v>
      </c>
      <c r="C45" s="38" t="s">
        <v>8</v>
      </c>
      <c r="D45" s="86">
        <v>7016</v>
      </c>
      <c r="E45" s="87"/>
      <c r="F45" s="38" t="s">
        <v>8</v>
      </c>
      <c r="G45" s="38" t="s">
        <v>8</v>
      </c>
      <c r="H45" s="38" t="s">
        <v>8</v>
      </c>
      <c r="I45" s="42">
        <f>D45</f>
        <v>7016</v>
      </c>
      <c r="J45" s="38" t="s">
        <v>8</v>
      </c>
      <c r="K45" s="38" t="s">
        <v>8</v>
      </c>
      <c r="L45" s="38" t="s">
        <v>8</v>
      </c>
      <c r="M45" s="38"/>
      <c r="N45" s="42">
        <v>4600</v>
      </c>
      <c r="O45" s="38" t="s">
        <v>8</v>
      </c>
      <c r="P45" s="38" t="s">
        <v>8</v>
      </c>
      <c r="Q45" s="42"/>
      <c r="S45" s="41"/>
    </row>
    <row r="46" spans="1:19" s="40" customFormat="1" ht="32.25" customHeight="1" x14ac:dyDescent="0.25">
      <c r="A46" s="47" t="s">
        <v>86</v>
      </c>
      <c r="B46" s="43" t="s">
        <v>14</v>
      </c>
      <c r="C46" s="49" t="s">
        <v>8</v>
      </c>
      <c r="D46" s="88" t="s">
        <v>8</v>
      </c>
      <c r="E46" s="89"/>
      <c r="F46" s="38" t="s">
        <v>8</v>
      </c>
      <c r="G46" s="38" t="s">
        <v>8</v>
      </c>
      <c r="H46" s="38" t="s">
        <v>8</v>
      </c>
      <c r="I46" s="38" t="s">
        <v>8</v>
      </c>
      <c r="J46" s="74">
        <v>680</v>
      </c>
      <c r="K46" s="38"/>
      <c r="L46" s="42">
        <v>680</v>
      </c>
      <c r="M46" s="38"/>
      <c r="N46" s="42">
        <v>680</v>
      </c>
      <c r="O46" s="38"/>
      <c r="P46" s="50">
        <v>680</v>
      </c>
      <c r="Q46" s="42"/>
      <c r="S46" s="41"/>
    </row>
    <row r="47" spans="1:19" s="40" customFormat="1" ht="30" x14ac:dyDescent="0.25">
      <c r="A47" s="48" t="s">
        <v>12</v>
      </c>
      <c r="B47" s="43" t="s">
        <v>13</v>
      </c>
      <c r="C47" s="49">
        <v>1.31</v>
      </c>
      <c r="D47" s="88" t="s">
        <v>8</v>
      </c>
      <c r="E47" s="89"/>
      <c r="F47" s="49" t="s">
        <v>8</v>
      </c>
      <c r="G47" s="49" t="s">
        <v>8</v>
      </c>
      <c r="H47" s="50"/>
      <c r="I47" s="50">
        <f>C47</f>
        <v>1.31</v>
      </c>
      <c r="J47" s="49" t="s">
        <v>8</v>
      </c>
      <c r="K47" s="49"/>
      <c r="L47" s="49" t="s">
        <v>8</v>
      </c>
      <c r="M47" s="49"/>
      <c r="N47" s="50">
        <v>3391.64</v>
      </c>
      <c r="O47" s="51" t="e">
        <f>N47/H47*100</f>
        <v>#DIV/0!</v>
      </c>
      <c r="P47" s="38" t="s">
        <v>8</v>
      </c>
      <c r="Q47" s="50"/>
      <c r="R47" s="41"/>
    </row>
    <row r="48" spans="1:19" x14ac:dyDescent="0.25">
      <c r="A48" s="18" t="s">
        <v>42</v>
      </c>
      <c r="B48" s="21" t="s">
        <v>43</v>
      </c>
      <c r="C48" s="23">
        <v>0</v>
      </c>
      <c r="D48" s="84">
        <v>42500</v>
      </c>
      <c r="E48" s="85"/>
      <c r="F48" s="19">
        <v>0</v>
      </c>
      <c r="G48" s="67">
        <v>0</v>
      </c>
      <c r="H48" s="19">
        <f>H49+H53</f>
        <v>1883</v>
      </c>
      <c r="I48" s="19">
        <f>D48+H48</f>
        <v>44383</v>
      </c>
      <c r="J48" s="19">
        <f>J50+J49+J51+J52+J53+J54+J55+J56</f>
        <v>9834.0400000000009</v>
      </c>
      <c r="K48" s="18"/>
      <c r="L48" s="19">
        <f>L49+L50+L51+L52+L53+L54+L55+L56</f>
        <v>20476.16</v>
      </c>
      <c r="M48" s="18"/>
      <c r="N48" s="19">
        <f>N49+N51+N53+N55+N50+N52+N54+N56</f>
        <v>32991.840000000004</v>
      </c>
      <c r="O48" s="18"/>
      <c r="P48" s="19">
        <f>P49+P50+P51+P52+P53+P54+P55+P56</f>
        <v>9825.0399999999991</v>
      </c>
      <c r="Q48" s="19"/>
      <c r="R48" s="25"/>
    </row>
    <row r="49" spans="1:20" s="40" customFormat="1" x14ac:dyDescent="0.25">
      <c r="A49" s="37" t="s">
        <v>47</v>
      </c>
      <c r="B49" s="33" t="s">
        <v>19</v>
      </c>
      <c r="C49" s="38" t="s">
        <v>8</v>
      </c>
      <c r="D49" s="86">
        <v>20813</v>
      </c>
      <c r="E49" s="87"/>
      <c r="F49" s="38" t="s">
        <v>8</v>
      </c>
      <c r="G49" s="38" t="s">
        <v>8</v>
      </c>
      <c r="H49" s="42">
        <v>1300</v>
      </c>
      <c r="I49" s="42">
        <f>H49+D49</f>
        <v>22113</v>
      </c>
      <c r="J49" s="36">
        <v>4898.83</v>
      </c>
      <c r="K49" s="37"/>
      <c r="L49" s="36">
        <f>10497.85-77.65-13.69-104.12</f>
        <v>10302.39</v>
      </c>
      <c r="M49" s="39"/>
      <c r="N49" s="36">
        <f>16618.29-77.65-104.12-13.69</f>
        <v>16422.830000000002</v>
      </c>
      <c r="O49" s="39">
        <f>N49/I49*100</f>
        <v>74.267761045538833</v>
      </c>
      <c r="P49" s="36">
        <f>5037.34-77.65-6.84-63.02</f>
        <v>4889.83</v>
      </c>
      <c r="Q49" s="36"/>
      <c r="R49" s="41"/>
      <c r="S49" s="52"/>
    </row>
    <row r="50" spans="1:20" s="40" customFormat="1" ht="30" x14ac:dyDescent="0.25">
      <c r="A50" s="47" t="s">
        <v>87</v>
      </c>
      <c r="B50" s="33" t="s">
        <v>19</v>
      </c>
      <c r="C50" s="38" t="s">
        <v>8</v>
      </c>
      <c r="D50" s="88" t="s">
        <v>8</v>
      </c>
      <c r="E50" s="89"/>
      <c r="F50" s="38" t="s">
        <v>8</v>
      </c>
      <c r="G50" s="38" t="s">
        <v>8</v>
      </c>
      <c r="H50" s="38" t="s">
        <v>8</v>
      </c>
      <c r="I50" s="38" t="s">
        <v>8</v>
      </c>
      <c r="J50" s="36">
        <v>77.650000000000006</v>
      </c>
      <c r="K50" s="37"/>
      <c r="L50" s="36">
        <f>77.65</f>
        <v>77.650000000000006</v>
      </c>
      <c r="M50" s="39"/>
      <c r="N50" s="36">
        <v>77.650000000000006</v>
      </c>
      <c r="O50" s="39"/>
      <c r="P50" s="36">
        <v>77.650000000000006</v>
      </c>
      <c r="Q50" s="36"/>
      <c r="R50" s="41"/>
      <c r="S50" s="52"/>
      <c r="T50" s="41"/>
    </row>
    <row r="51" spans="1:20" s="40" customFormat="1" x14ac:dyDescent="0.25">
      <c r="A51" s="37" t="s">
        <v>46</v>
      </c>
      <c r="B51" s="33" t="s">
        <v>49</v>
      </c>
      <c r="C51" s="38" t="s">
        <v>8</v>
      </c>
      <c r="D51" s="86">
        <v>7836</v>
      </c>
      <c r="E51" s="87"/>
      <c r="F51" s="38" t="s">
        <v>8</v>
      </c>
      <c r="G51" s="38" t="s">
        <v>8</v>
      </c>
      <c r="H51" s="38" t="s">
        <v>8</v>
      </c>
      <c r="I51" s="42">
        <f>D51</f>
        <v>7836</v>
      </c>
      <c r="J51" s="36">
        <v>1523.9</v>
      </c>
      <c r="K51" s="37"/>
      <c r="L51" s="36">
        <f>3298.25-24.94-5.16-39.23</f>
        <v>3228.92</v>
      </c>
      <c r="M51" s="39"/>
      <c r="N51" s="36">
        <f>5209.97-24.94-39.23-5.16</f>
        <v>5140.6400000000012</v>
      </c>
      <c r="O51" s="39">
        <f>N51/D51*100</f>
        <v>65.602858601327213</v>
      </c>
      <c r="P51" s="36">
        <f>1575.17-24.94-2.58-23.75</f>
        <v>1523.9</v>
      </c>
      <c r="Q51" s="36"/>
      <c r="S51" s="52"/>
    </row>
    <row r="52" spans="1:20" s="40" customFormat="1" ht="30" x14ac:dyDescent="0.25">
      <c r="A52" s="47" t="s">
        <v>88</v>
      </c>
      <c r="B52" s="33" t="s">
        <v>49</v>
      </c>
      <c r="C52" s="49" t="s">
        <v>8</v>
      </c>
      <c r="D52" s="88" t="s">
        <v>8</v>
      </c>
      <c r="E52" s="89"/>
      <c r="F52" s="38" t="s">
        <v>8</v>
      </c>
      <c r="G52" s="38" t="s">
        <v>8</v>
      </c>
      <c r="H52" s="38" t="s">
        <v>8</v>
      </c>
      <c r="I52" s="38" t="s">
        <v>8</v>
      </c>
      <c r="J52" s="36">
        <v>24.94</v>
      </c>
      <c r="K52" s="37"/>
      <c r="L52" s="36">
        <v>24.94</v>
      </c>
      <c r="M52" s="39"/>
      <c r="N52" s="36">
        <v>24.94</v>
      </c>
      <c r="O52" s="39"/>
      <c r="P52" s="36">
        <v>24.94</v>
      </c>
      <c r="Q52" s="36"/>
    </row>
    <row r="53" spans="1:20" s="40" customFormat="1" ht="14.25" customHeight="1" x14ac:dyDescent="0.25">
      <c r="A53" s="37" t="s">
        <v>45</v>
      </c>
      <c r="B53" s="33" t="s">
        <v>20</v>
      </c>
      <c r="C53" s="38" t="s">
        <v>8</v>
      </c>
      <c r="D53" s="86">
        <v>8748</v>
      </c>
      <c r="E53" s="87"/>
      <c r="F53" s="38" t="s">
        <v>8</v>
      </c>
      <c r="G53" s="38" t="s">
        <v>8</v>
      </c>
      <c r="H53" s="74">
        <v>583</v>
      </c>
      <c r="I53" s="74">
        <f>H53+D53</f>
        <v>9331</v>
      </c>
      <c r="J53" s="36">
        <v>2186.41</v>
      </c>
      <c r="K53" s="37"/>
      <c r="L53" s="36">
        <f>4673.2-32.64-5.76-43.79</f>
        <v>4591.0099999999993</v>
      </c>
      <c r="M53" s="39"/>
      <c r="N53" s="36">
        <f>7308.98-32.64-43.79-5.76</f>
        <v>7226.7899999999991</v>
      </c>
      <c r="O53" s="39">
        <f>N53/I53*100</f>
        <v>77.449255170935587</v>
      </c>
      <c r="P53" s="36">
        <f>2248.44-32.64-2.88-26.51</f>
        <v>2186.41</v>
      </c>
      <c r="Q53" s="36"/>
    </row>
    <row r="54" spans="1:20" s="40" customFormat="1" ht="35.25" customHeight="1" x14ac:dyDescent="0.25">
      <c r="A54" s="53" t="s">
        <v>89</v>
      </c>
      <c r="B54" s="33" t="s">
        <v>20</v>
      </c>
      <c r="C54" s="49" t="s">
        <v>8</v>
      </c>
      <c r="D54" s="88" t="s">
        <v>8</v>
      </c>
      <c r="E54" s="89"/>
      <c r="F54" s="38" t="s">
        <v>8</v>
      </c>
      <c r="G54" s="38" t="s">
        <v>8</v>
      </c>
      <c r="H54" s="38" t="s">
        <v>8</v>
      </c>
      <c r="I54" s="38" t="s">
        <v>8</v>
      </c>
      <c r="J54" s="36">
        <v>32.64</v>
      </c>
      <c r="K54" s="37"/>
      <c r="L54" s="36">
        <v>32.64</v>
      </c>
      <c r="M54" s="39"/>
      <c r="N54" s="36">
        <v>32.64</v>
      </c>
      <c r="O54" s="39"/>
      <c r="P54" s="36">
        <f>32.64</f>
        <v>32.64</v>
      </c>
      <c r="Q54" s="36"/>
    </row>
    <row r="55" spans="1:20" s="40" customFormat="1" x14ac:dyDescent="0.25">
      <c r="A55" s="37" t="s">
        <v>44</v>
      </c>
      <c r="B55" s="33" t="s">
        <v>21</v>
      </c>
      <c r="C55" s="38" t="s">
        <v>8</v>
      </c>
      <c r="D55" s="86">
        <v>5103</v>
      </c>
      <c r="E55" s="87"/>
      <c r="F55" s="38" t="s">
        <v>8</v>
      </c>
      <c r="G55" s="38" t="s">
        <v>8</v>
      </c>
      <c r="H55" s="38" t="s">
        <v>8</v>
      </c>
      <c r="I55" s="42">
        <f>D55</f>
        <v>5103</v>
      </c>
      <c r="J55" s="37">
        <v>1070.6300000000001</v>
      </c>
      <c r="K55" s="37"/>
      <c r="L55" s="36">
        <f>2247.52-19.04-3.36-25.55</f>
        <v>2199.5699999999997</v>
      </c>
      <c r="M55" s="39"/>
      <c r="N55" s="36">
        <f>4095.26-19.04-25.55-3.36</f>
        <v>4047.31</v>
      </c>
      <c r="O55" s="39">
        <f>N55/I55*100</f>
        <v>79.312365275328233</v>
      </c>
      <c r="P55" s="36">
        <f>1106.82-19.04-1.68-15.47</f>
        <v>1070.6299999999999</v>
      </c>
      <c r="Q55" s="36"/>
    </row>
    <row r="56" spans="1:20" s="40" customFormat="1" ht="30" x14ac:dyDescent="0.25">
      <c r="A56" s="47" t="s">
        <v>90</v>
      </c>
      <c r="B56" s="33" t="s">
        <v>21</v>
      </c>
      <c r="C56" s="49" t="s">
        <v>8</v>
      </c>
      <c r="D56" s="88" t="s">
        <v>8</v>
      </c>
      <c r="E56" s="89"/>
      <c r="F56" s="38" t="s">
        <v>8</v>
      </c>
      <c r="G56" s="38" t="s">
        <v>8</v>
      </c>
      <c r="H56" s="38" t="s">
        <v>8</v>
      </c>
      <c r="I56" s="38" t="s">
        <v>8</v>
      </c>
      <c r="J56" s="37">
        <v>19.04</v>
      </c>
      <c r="K56" s="37"/>
      <c r="L56" s="36">
        <v>19.04</v>
      </c>
      <c r="M56" s="39"/>
      <c r="N56" s="36">
        <v>19.04</v>
      </c>
      <c r="O56" s="39"/>
      <c r="P56" s="36">
        <f>19.04</f>
        <v>19.04</v>
      </c>
      <c r="Q56" s="36"/>
    </row>
    <row r="57" spans="1:20" x14ac:dyDescent="0.25">
      <c r="A57" s="18" t="s">
        <v>48</v>
      </c>
      <c r="B57" s="18"/>
      <c r="C57" s="19">
        <f>C58+C59+C60</f>
        <v>7183.1900000000005</v>
      </c>
      <c r="D57" s="92">
        <v>0</v>
      </c>
      <c r="E57" s="93"/>
      <c r="F57" s="67">
        <v>0</v>
      </c>
      <c r="G57" s="67">
        <v>0</v>
      </c>
      <c r="H57" s="19">
        <v>0</v>
      </c>
      <c r="I57" s="19">
        <f>I58+I59+I60</f>
        <v>7183.1900000000005</v>
      </c>
      <c r="J57" s="19">
        <f>J58</f>
        <v>3183.3</v>
      </c>
      <c r="K57" s="18"/>
      <c r="L57" s="19">
        <f>L58</f>
        <v>4556.5</v>
      </c>
      <c r="M57" s="18"/>
      <c r="N57" s="19">
        <f>N58</f>
        <v>5296.42</v>
      </c>
      <c r="O57" s="18"/>
      <c r="P57" s="19">
        <f>P58+P60+P59</f>
        <v>3251.19</v>
      </c>
      <c r="Q57" s="19"/>
    </row>
    <row r="58" spans="1:20" s="32" customFormat="1" x14ac:dyDescent="0.25">
      <c r="A58" s="27" t="s">
        <v>25</v>
      </c>
      <c r="B58" s="27"/>
      <c r="C58" s="28">
        <v>7115.3</v>
      </c>
      <c r="D58" s="90" t="s">
        <v>8</v>
      </c>
      <c r="E58" s="91"/>
      <c r="F58" s="29" t="s">
        <v>8</v>
      </c>
      <c r="G58" s="29" t="s">
        <v>8</v>
      </c>
      <c r="H58" s="38" t="s">
        <v>8</v>
      </c>
      <c r="I58" s="42">
        <f>C58</f>
        <v>7115.3</v>
      </c>
      <c r="J58" s="30">
        <v>3183.3</v>
      </c>
      <c r="K58" s="27"/>
      <c r="L58" s="30">
        <v>4556.5</v>
      </c>
      <c r="M58" s="31"/>
      <c r="N58" s="30">
        <v>5296.42</v>
      </c>
      <c r="O58" s="31">
        <f>N58/I58*100</f>
        <v>74.437058170421494</v>
      </c>
      <c r="P58" s="30">
        <f>3183.3</f>
        <v>3183.3</v>
      </c>
      <c r="Q58" s="30"/>
      <c r="R58" s="54">
        <f>I58-N58</f>
        <v>1818.88</v>
      </c>
      <c r="S58" s="54"/>
    </row>
    <row r="59" spans="1:20" s="32" customFormat="1" x14ac:dyDescent="0.25">
      <c r="A59" s="27" t="s">
        <v>26</v>
      </c>
      <c r="B59" s="27"/>
      <c r="C59" s="29">
        <v>8.25</v>
      </c>
      <c r="D59" s="82" t="s">
        <v>8</v>
      </c>
      <c r="E59" s="83"/>
      <c r="F59" s="29" t="s">
        <v>8</v>
      </c>
      <c r="G59" s="29" t="s">
        <v>8</v>
      </c>
      <c r="H59" s="38" t="s">
        <v>8</v>
      </c>
      <c r="I59" s="38">
        <f>C59</f>
        <v>8.25</v>
      </c>
      <c r="J59" s="29" t="s">
        <v>8</v>
      </c>
      <c r="K59" s="29"/>
      <c r="L59" s="29" t="s">
        <v>8</v>
      </c>
      <c r="M59" s="29"/>
      <c r="N59" s="28" t="s">
        <v>8</v>
      </c>
      <c r="O59" s="28" t="s">
        <v>8</v>
      </c>
      <c r="P59" s="28">
        <v>8.25</v>
      </c>
      <c r="Q59" s="28"/>
    </row>
    <row r="60" spans="1:20" s="32" customFormat="1" x14ac:dyDescent="0.25">
      <c r="A60" s="27" t="s">
        <v>27</v>
      </c>
      <c r="B60" s="27"/>
      <c r="C60" s="29">
        <v>59.64</v>
      </c>
      <c r="D60" s="82" t="s">
        <v>8</v>
      </c>
      <c r="E60" s="83"/>
      <c r="F60" s="29" t="s">
        <v>8</v>
      </c>
      <c r="G60" s="29" t="s">
        <v>8</v>
      </c>
      <c r="H60" s="38" t="s">
        <v>8</v>
      </c>
      <c r="I60" s="38">
        <f>C60</f>
        <v>59.64</v>
      </c>
      <c r="J60" s="29" t="s">
        <v>8</v>
      </c>
      <c r="K60" s="29"/>
      <c r="L60" s="29" t="s">
        <v>8</v>
      </c>
      <c r="M60" s="29"/>
      <c r="N60" s="29" t="s">
        <v>8</v>
      </c>
      <c r="O60" s="31" t="e">
        <f>N60/I60*100</f>
        <v>#VALUE!</v>
      </c>
      <c r="P60" s="27">
        <f>59.64</f>
        <v>59.64</v>
      </c>
      <c r="Q60" s="27"/>
    </row>
    <row r="61" spans="1:20" x14ac:dyDescent="0.25">
      <c r="A61" s="18" t="s">
        <v>50</v>
      </c>
      <c r="B61" s="17"/>
      <c r="C61" s="19">
        <f>C62+C63</f>
        <v>3596.2299999999996</v>
      </c>
      <c r="D61" s="84">
        <f>D62+D63</f>
        <v>3323.25</v>
      </c>
      <c r="E61" s="85"/>
      <c r="F61" s="68">
        <v>0</v>
      </c>
      <c r="G61" s="68">
        <v>0</v>
      </c>
      <c r="H61" s="68">
        <v>0</v>
      </c>
      <c r="I61" s="19">
        <f>I62+I63</f>
        <v>6919.48</v>
      </c>
      <c r="J61" s="18">
        <f>J62+J63</f>
        <v>793.98</v>
      </c>
      <c r="K61" s="17"/>
      <c r="L61" s="19">
        <f>L62+L63</f>
        <v>1311.91</v>
      </c>
      <c r="M61" s="17"/>
      <c r="N61" s="19">
        <f>N62+N63</f>
        <v>1311.91</v>
      </c>
      <c r="O61" s="17"/>
      <c r="P61" s="19">
        <f>P62+P63</f>
        <v>793.98</v>
      </c>
      <c r="Q61" s="19"/>
    </row>
    <row r="62" spans="1:20" s="64" customFormat="1" x14ac:dyDescent="0.25">
      <c r="A62" s="59" t="s">
        <v>10</v>
      </c>
      <c r="B62" s="59"/>
      <c r="C62" s="60">
        <v>2469.16</v>
      </c>
      <c r="D62" s="86">
        <v>2093</v>
      </c>
      <c r="E62" s="87"/>
      <c r="F62" s="61" t="s">
        <v>8</v>
      </c>
      <c r="G62" s="61" t="s">
        <v>8</v>
      </c>
      <c r="H62" s="61" t="s">
        <v>8</v>
      </c>
      <c r="I62" s="60">
        <f>C62+D62</f>
        <v>4562.16</v>
      </c>
      <c r="J62" s="59">
        <v>39.25</v>
      </c>
      <c r="K62" s="59"/>
      <c r="L62" s="62">
        <v>39.25</v>
      </c>
      <c r="M62" s="63"/>
      <c r="N62" s="62">
        <v>39.25</v>
      </c>
      <c r="O62" s="63">
        <f>N62/I62*100</f>
        <v>0.86033808546828705</v>
      </c>
      <c r="P62" s="62">
        <f>39.25</f>
        <v>39.25</v>
      </c>
      <c r="Q62" s="62"/>
      <c r="R62" s="64" t="s">
        <v>107</v>
      </c>
    </row>
    <row r="63" spans="1:20" s="64" customFormat="1" x14ac:dyDescent="0.25">
      <c r="A63" s="59" t="s">
        <v>51</v>
      </c>
      <c r="B63" s="59"/>
      <c r="C63" s="60">
        <v>1127.07</v>
      </c>
      <c r="D63" s="86">
        <v>1230.25</v>
      </c>
      <c r="E63" s="87"/>
      <c r="F63" s="61" t="s">
        <v>8</v>
      </c>
      <c r="G63" s="61" t="s">
        <v>8</v>
      </c>
      <c r="H63" s="61" t="s">
        <v>8</v>
      </c>
      <c r="I63" s="60">
        <f>C63+D63</f>
        <v>2357.3199999999997</v>
      </c>
      <c r="J63" s="61">
        <v>754.73</v>
      </c>
      <c r="K63" s="61"/>
      <c r="L63" s="76">
        <f>147.97+1124.69</f>
        <v>1272.6600000000001</v>
      </c>
      <c r="M63" s="63"/>
      <c r="N63" s="60">
        <v>1272.6600000000001</v>
      </c>
      <c r="O63" s="63">
        <f>N63/I63*100</f>
        <v>53.987579115266506</v>
      </c>
      <c r="P63" s="62">
        <f>552+60+63.02+15.47+23.75+26.51+6.84+1.68+2.58+2.88</f>
        <v>754.73</v>
      </c>
      <c r="Q63" s="59"/>
      <c r="R63" s="64" t="s">
        <v>108</v>
      </c>
    </row>
    <row r="64" spans="1:20" ht="14.25" customHeight="1" x14ac:dyDescent="0.25">
      <c r="A64" s="18" t="s">
        <v>52</v>
      </c>
      <c r="B64" s="22" t="s">
        <v>66</v>
      </c>
      <c r="C64" s="19">
        <f>C65+C68+C69+C70+C74+C76+C77+C78+C79</f>
        <v>17998.000000000004</v>
      </c>
      <c r="D64" s="84">
        <f>D67+D68+D70+D74+D77</f>
        <v>13388.75</v>
      </c>
      <c r="E64" s="85"/>
      <c r="F64" s="66">
        <v>0</v>
      </c>
      <c r="G64" s="19">
        <v>0</v>
      </c>
      <c r="H64" s="19">
        <f>H76+H69+H82</f>
        <v>3981</v>
      </c>
      <c r="I64" s="19">
        <f>I65+I68+I69+I70+I74+I76+I77+I78+I79+I82+I67</f>
        <v>35367.749999999993</v>
      </c>
      <c r="J64" s="19">
        <f>J65+J66+J70+J71+J73+J74+J75+J76+J78+J79</f>
        <v>8264.27</v>
      </c>
      <c r="K64" s="18"/>
      <c r="L64" s="19">
        <f>L65+L66+L68+L69+L70+L71+L74+L75+L76+L78+L79+L73</f>
        <v>11784.78</v>
      </c>
      <c r="M64" s="18"/>
      <c r="N64" s="19">
        <f>N65+N66+N68+N69+N70+N71+N72+N73+N74+N75+N76+N78+N79</f>
        <v>21193.93</v>
      </c>
      <c r="O64" s="18"/>
      <c r="P64" s="19">
        <f>P65+P66+P70+P71+P74+P75+P79+P76+P78+P73</f>
        <v>8264.2699999999986</v>
      </c>
      <c r="Q64" s="19"/>
    </row>
    <row r="65" spans="1:19" s="32" customFormat="1" x14ac:dyDescent="0.25">
      <c r="A65" s="27" t="s">
        <v>53</v>
      </c>
      <c r="B65" s="56" t="s">
        <v>9</v>
      </c>
      <c r="C65" s="27">
        <v>624.03</v>
      </c>
      <c r="D65" s="80" t="s">
        <v>8</v>
      </c>
      <c r="E65" s="81"/>
      <c r="F65" s="29" t="s">
        <v>8</v>
      </c>
      <c r="G65" s="38" t="s">
        <v>8</v>
      </c>
      <c r="H65" s="28" t="s">
        <v>8</v>
      </c>
      <c r="I65" s="30">
        <f>C65</f>
        <v>624.03</v>
      </c>
      <c r="J65" s="30">
        <v>443.2</v>
      </c>
      <c r="K65" s="27"/>
      <c r="L65" s="30">
        <v>1135.5</v>
      </c>
      <c r="M65" s="31"/>
      <c r="N65" s="30">
        <v>1135.5</v>
      </c>
      <c r="O65" s="31">
        <f t="shared" ref="O65:O80" si="0">N65/I65*100</f>
        <v>181.96240565357436</v>
      </c>
      <c r="P65" s="30">
        <v>443.2</v>
      </c>
      <c r="Q65" s="30"/>
    </row>
    <row r="66" spans="1:19" s="32" customFormat="1" ht="30" x14ac:dyDescent="0.25">
      <c r="A66" s="47" t="s">
        <v>104</v>
      </c>
      <c r="B66" s="69" t="s">
        <v>103</v>
      </c>
      <c r="C66" s="49" t="s">
        <v>8</v>
      </c>
      <c r="D66" s="88" t="s">
        <v>8</v>
      </c>
      <c r="E66" s="89"/>
      <c r="F66" s="49" t="s">
        <v>8</v>
      </c>
      <c r="G66" s="49" t="s">
        <v>8</v>
      </c>
      <c r="H66" s="49" t="s">
        <v>8</v>
      </c>
      <c r="I66" s="49" t="s">
        <v>8</v>
      </c>
      <c r="J66" s="30">
        <v>52.8</v>
      </c>
      <c r="K66" s="27"/>
      <c r="L66" s="30">
        <v>52.8</v>
      </c>
      <c r="M66" s="31"/>
      <c r="N66" s="30">
        <v>52.8</v>
      </c>
      <c r="O66" s="31"/>
      <c r="P66" s="70">
        <v>52.8</v>
      </c>
      <c r="Q66" s="30"/>
    </row>
    <row r="67" spans="1:19" s="32" customFormat="1" x14ac:dyDescent="0.25">
      <c r="A67" s="27" t="s">
        <v>54</v>
      </c>
      <c r="B67" s="33" t="s">
        <v>67</v>
      </c>
      <c r="C67" s="38" t="s">
        <v>8</v>
      </c>
      <c r="D67" s="86">
        <v>600</v>
      </c>
      <c r="E67" s="87"/>
      <c r="F67" s="29" t="s">
        <v>8</v>
      </c>
      <c r="G67" s="38" t="s">
        <v>8</v>
      </c>
      <c r="H67" s="38" t="s">
        <v>8</v>
      </c>
      <c r="I67" s="42">
        <v>600</v>
      </c>
      <c r="J67" s="38" t="s">
        <v>8</v>
      </c>
      <c r="K67" s="27"/>
      <c r="L67" s="38" t="s">
        <v>8</v>
      </c>
      <c r="M67" s="38" t="s">
        <v>8</v>
      </c>
      <c r="N67" s="38" t="s">
        <v>8</v>
      </c>
      <c r="O67" s="27" t="e">
        <f t="shared" si="0"/>
        <v>#VALUE!</v>
      </c>
      <c r="P67" s="38" t="s">
        <v>8</v>
      </c>
      <c r="Q67" s="30"/>
      <c r="R67" s="54"/>
      <c r="S67" s="54"/>
    </row>
    <row r="68" spans="1:19" s="32" customFormat="1" x14ac:dyDescent="0.25">
      <c r="A68" s="27" t="s">
        <v>111</v>
      </c>
      <c r="B68" s="33" t="s">
        <v>40</v>
      </c>
      <c r="C68" s="58">
        <v>895.7</v>
      </c>
      <c r="D68" s="86">
        <v>4950</v>
      </c>
      <c r="E68" s="87"/>
      <c r="F68" s="29" t="s">
        <v>8</v>
      </c>
      <c r="G68" s="38" t="s">
        <v>8</v>
      </c>
      <c r="H68" s="38" t="s">
        <v>8</v>
      </c>
      <c r="I68" s="30">
        <f>C68+D68</f>
        <v>5845.7</v>
      </c>
      <c r="J68" s="38">
        <v>0</v>
      </c>
      <c r="K68" s="31"/>
      <c r="L68" s="30">
        <v>80.64</v>
      </c>
      <c r="M68" s="31"/>
      <c r="N68" s="30">
        <v>80.64</v>
      </c>
      <c r="O68" s="31">
        <f t="shared" si="0"/>
        <v>1.3794755119147408</v>
      </c>
      <c r="P68" s="30">
        <v>0</v>
      </c>
      <c r="Q68" s="30"/>
      <c r="S68" s="54"/>
    </row>
    <row r="69" spans="1:19" s="32" customFormat="1" x14ac:dyDescent="0.25">
      <c r="A69" s="27" t="s">
        <v>55</v>
      </c>
      <c r="B69" s="33" t="s">
        <v>15</v>
      </c>
      <c r="C69" s="27">
        <v>628.09</v>
      </c>
      <c r="D69" s="80" t="s">
        <v>8</v>
      </c>
      <c r="E69" s="81"/>
      <c r="F69" s="29" t="s">
        <v>8</v>
      </c>
      <c r="G69" s="38" t="s">
        <v>8</v>
      </c>
      <c r="H69" s="42">
        <v>1851</v>
      </c>
      <c r="I69" s="30">
        <f>C69+H69</f>
        <v>2479.09</v>
      </c>
      <c r="J69" s="30">
        <v>0</v>
      </c>
      <c r="K69" s="27"/>
      <c r="L69" s="30">
        <v>1682.21</v>
      </c>
      <c r="M69" s="31"/>
      <c r="N69" s="30">
        <v>1850.21</v>
      </c>
      <c r="O69" s="31">
        <f t="shared" si="0"/>
        <v>74.63262729469281</v>
      </c>
      <c r="P69" s="30">
        <v>0</v>
      </c>
      <c r="Q69" s="30"/>
      <c r="R69" s="54"/>
    </row>
    <row r="70" spans="1:19" s="32" customFormat="1" x14ac:dyDescent="0.25">
      <c r="A70" s="27" t="s">
        <v>56</v>
      </c>
      <c r="B70" s="33" t="s">
        <v>23</v>
      </c>
      <c r="C70" s="30">
        <v>12896.68</v>
      </c>
      <c r="D70" s="86">
        <f>1137.75+2717-1200</f>
        <v>2654.75</v>
      </c>
      <c r="E70" s="87"/>
      <c r="F70" s="38" t="s">
        <v>8</v>
      </c>
      <c r="G70" s="38" t="s">
        <v>8</v>
      </c>
      <c r="H70" s="38" t="s">
        <v>8</v>
      </c>
      <c r="I70" s="30">
        <f>C70+D70</f>
        <v>15551.43</v>
      </c>
      <c r="J70" s="30">
        <v>3333.89</v>
      </c>
      <c r="K70" s="27"/>
      <c r="L70" s="30">
        <f>3826.98-39.25-315.8</f>
        <v>3471.93</v>
      </c>
      <c r="M70" s="31"/>
      <c r="N70" s="30">
        <f>4820.04-315.8-39.25</f>
        <v>4464.99</v>
      </c>
      <c r="O70" s="31">
        <f t="shared" si="0"/>
        <v>28.711121742502133</v>
      </c>
      <c r="P70" s="30">
        <f>3688.94-315.8-39.25</f>
        <v>3333.89</v>
      </c>
      <c r="Q70" s="30"/>
      <c r="S70" s="54"/>
    </row>
    <row r="71" spans="1:19" s="32" customFormat="1" x14ac:dyDescent="0.25">
      <c r="A71" s="37" t="s">
        <v>106</v>
      </c>
      <c r="B71" s="71" t="s">
        <v>105</v>
      </c>
      <c r="C71" s="38" t="s">
        <v>8</v>
      </c>
      <c r="D71" s="80" t="s">
        <v>8</v>
      </c>
      <c r="E71" s="81"/>
      <c r="F71" s="38" t="s">
        <v>8</v>
      </c>
      <c r="G71" s="38" t="s">
        <v>8</v>
      </c>
      <c r="H71" s="38" t="s">
        <v>8</v>
      </c>
      <c r="I71" s="30">
        <v>0</v>
      </c>
      <c r="J71" s="30">
        <v>1799</v>
      </c>
      <c r="K71" s="27"/>
      <c r="L71" s="30">
        <v>1799</v>
      </c>
      <c r="M71" s="31"/>
      <c r="N71" s="30">
        <v>2719</v>
      </c>
      <c r="O71" s="31"/>
      <c r="P71" s="30">
        <v>1799</v>
      </c>
      <c r="Q71" s="30"/>
      <c r="S71" s="54"/>
    </row>
    <row r="72" spans="1:19" s="32" customFormat="1" x14ac:dyDescent="0.25">
      <c r="A72" s="37" t="s">
        <v>113</v>
      </c>
      <c r="B72" s="33" t="s">
        <v>114</v>
      </c>
      <c r="C72" s="38" t="s">
        <v>8</v>
      </c>
      <c r="D72" s="80" t="s">
        <v>8</v>
      </c>
      <c r="E72" s="81"/>
      <c r="F72" s="38"/>
      <c r="G72" s="38"/>
      <c r="H72" s="38"/>
      <c r="I72" s="30"/>
      <c r="J72" s="30"/>
      <c r="K72" s="27"/>
      <c r="L72" s="30"/>
      <c r="M72" s="31"/>
      <c r="N72" s="30">
        <v>2605.1999999999998</v>
      </c>
      <c r="O72" s="31"/>
      <c r="P72" s="30"/>
      <c r="Q72" s="30"/>
    </row>
    <row r="73" spans="1:19" s="32" customFormat="1" x14ac:dyDescent="0.25">
      <c r="A73" s="37" t="s">
        <v>94</v>
      </c>
      <c r="B73" s="72" t="s">
        <v>23</v>
      </c>
      <c r="C73" s="55">
        <v>0</v>
      </c>
      <c r="D73" s="80" t="s">
        <v>8</v>
      </c>
      <c r="E73" s="81"/>
      <c r="F73" s="38" t="s">
        <v>8</v>
      </c>
      <c r="G73" s="38" t="s">
        <v>8</v>
      </c>
      <c r="H73" s="38" t="s">
        <v>8</v>
      </c>
      <c r="I73" s="30">
        <f t="shared" ref="I73:I79" si="1">C73</f>
        <v>0</v>
      </c>
      <c r="J73" s="30">
        <v>315.8</v>
      </c>
      <c r="K73" s="27"/>
      <c r="L73" s="30">
        <v>315.8</v>
      </c>
      <c r="M73" s="31"/>
      <c r="N73" s="30">
        <v>315.8</v>
      </c>
      <c r="O73" s="31"/>
      <c r="P73" s="30">
        <f>315.8</f>
        <v>315.8</v>
      </c>
      <c r="Q73" s="30"/>
    </row>
    <row r="74" spans="1:19" s="32" customFormat="1" x14ac:dyDescent="0.25">
      <c r="A74" s="27" t="s">
        <v>57</v>
      </c>
      <c r="B74" s="33" t="s">
        <v>16</v>
      </c>
      <c r="C74" s="27">
        <v>34.92</v>
      </c>
      <c r="D74" s="86">
        <v>3000</v>
      </c>
      <c r="E74" s="87"/>
      <c r="F74" s="29" t="s">
        <v>8</v>
      </c>
      <c r="G74" s="38" t="s">
        <v>8</v>
      </c>
      <c r="H74" s="38" t="s">
        <v>8</v>
      </c>
      <c r="I74" s="30">
        <f>C74+D74</f>
        <v>3034.92</v>
      </c>
      <c r="J74" s="30">
        <v>41.98</v>
      </c>
      <c r="K74" s="27"/>
      <c r="L74" s="30">
        <v>61.78</v>
      </c>
      <c r="M74" s="31"/>
      <c r="N74" s="30">
        <v>2701.78</v>
      </c>
      <c r="O74" s="31">
        <f t="shared" si="0"/>
        <v>89.023104398138997</v>
      </c>
      <c r="P74" s="30">
        <v>41.98</v>
      </c>
      <c r="Q74" s="30"/>
      <c r="R74" s="54"/>
    </row>
    <row r="75" spans="1:19" s="32" customFormat="1" x14ac:dyDescent="0.25">
      <c r="A75" s="27" t="s">
        <v>58</v>
      </c>
      <c r="B75" s="33" t="s">
        <v>22</v>
      </c>
      <c r="C75" s="58">
        <v>0</v>
      </c>
      <c r="D75" s="80" t="s">
        <v>8</v>
      </c>
      <c r="E75" s="81"/>
      <c r="F75" s="29" t="s">
        <v>8</v>
      </c>
      <c r="G75" s="29" t="s">
        <v>8</v>
      </c>
      <c r="H75" s="38" t="s">
        <v>8</v>
      </c>
      <c r="I75" s="30">
        <f t="shared" si="1"/>
        <v>0</v>
      </c>
      <c r="J75" s="30">
        <v>1592.48</v>
      </c>
      <c r="K75" s="27"/>
      <c r="L75" s="30">
        <f>3176.42-1226.34-100</f>
        <v>1850.0800000000002</v>
      </c>
      <c r="M75" s="31"/>
      <c r="N75" s="30">
        <f>5259.31-100-1573.59</f>
        <v>3585.7200000000003</v>
      </c>
      <c r="O75" s="31" t="e">
        <f t="shared" si="0"/>
        <v>#DIV/0!</v>
      </c>
      <c r="P75" s="30">
        <f>2268.9-576.42-100</f>
        <v>1592.48</v>
      </c>
      <c r="Q75" s="30"/>
    </row>
    <row r="76" spans="1:19" s="32" customFormat="1" ht="16.5" customHeight="1" x14ac:dyDescent="0.25">
      <c r="A76" s="27" t="s">
        <v>59</v>
      </c>
      <c r="B76" s="33" t="s">
        <v>22</v>
      </c>
      <c r="C76" s="30">
        <v>1609.48</v>
      </c>
      <c r="D76" s="80" t="s">
        <v>8</v>
      </c>
      <c r="E76" s="81"/>
      <c r="F76" s="29" t="s">
        <v>8</v>
      </c>
      <c r="G76" s="29" t="s">
        <v>8</v>
      </c>
      <c r="H76" s="42">
        <v>1940</v>
      </c>
      <c r="I76" s="30">
        <f>C76+H76</f>
        <v>3549.48</v>
      </c>
      <c r="J76" s="30">
        <v>576.41999999999996</v>
      </c>
      <c r="K76" s="27"/>
      <c r="L76" s="30">
        <v>1226.3399999999999</v>
      </c>
      <c r="M76" s="31"/>
      <c r="N76" s="30">
        <v>1573.59</v>
      </c>
      <c r="O76" s="31">
        <f t="shared" si="0"/>
        <v>44.332972717130389</v>
      </c>
      <c r="P76" s="30">
        <f>576.42</f>
        <v>576.41999999999996</v>
      </c>
      <c r="Q76" s="30"/>
      <c r="R76" s="54"/>
      <c r="S76" s="54"/>
    </row>
    <row r="77" spans="1:19" s="32" customFormat="1" x14ac:dyDescent="0.25">
      <c r="A77" s="57" t="s">
        <v>60</v>
      </c>
      <c r="B77" s="33" t="s">
        <v>22</v>
      </c>
      <c r="C77" s="58">
        <v>973.9</v>
      </c>
      <c r="D77" s="86">
        <v>2184</v>
      </c>
      <c r="E77" s="87"/>
      <c r="F77" s="29" t="s">
        <v>8</v>
      </c>
      <c r="G77" s="29" t="s">
        <v>8</v>
      </c>
      <c r="H77" s="38" t="s">
        <v>8</v>
      </c>
      <c r="I77" s="30">
        <f>C77+D77</f>
        <v>3157.9</v>
      </c>
      <c r="J77" s="38" t="s">
        <v>8</v>
      </c>
      <c r="K77" s="27"/>
      <c r="L77" s="38" t="s">
        <v>8</v>
      </c>
      <c r="M77" s="38" t="s">
        <v>8</v>
      </c>
      <c r="N77" s="38" t="s">
        <v>8</v>
      </c>
      <c r="O77" s="31" t="e">
        <f t="shared" si="0"/>
        <v>#VALUE!</v>
      </c>
      <c r="P77" s="30">
        <v>0</v>
      </c>
      <c r="Q77" s="30"/>
    </row>
    <row r="78" spans="1:19" s="32" customFormat="1" x14ac:dyDescent="0.25">
      <c r="A78" s="57" t="s">
        <v>91</v>
      </c>
      <c r="B78" s="65" t="s">
        <v>22</v>
      </c>
      <c r="C78" s="58">
        <v>100</v>
      </c>
      <c r="D78" s="80" t="s">
        <v>8</v>
      </c>
      <c r="E78" s="81"/>
      <c r="F78" s="38" t="s">
        <v>8</v>
      </c>
      <c r="G78" s="38" t="s">
        <v>8</v>
      </c>
      <c r="H78" s="38" t="s">
        <v>8</v>
      </c>
      <c r="I78" s="30">
        <f t="shared" si="1"/>
        <v>100</v>
      </c>
      <c r="J78" s="30">
        <v>100</v>
      </c>
      <c r="K78" s="27"/>
      <c r="L78" s="30">
        <v>100</v>
      </c>
      <c r="M78" s="31"/>
      <c r="N78" s="30">
        <v>100</v>
      </c>
      <c r="O78" s="31"/>
      <c r="P78" s="30">
        <v>100</v>
      </c>
      <c r="Q78" s="30"/>
    </row>
    <row r="79" spans="1:19" s="32" customFormat="1" x14ac:dyDescent="0.25">
      <c r="A79" s="27" t="s">
        <v>61</v>
      </c>
      <c r="B79" s="33" t="s">
        <v>68</v>
      </c>
      <c r="C79" s="58">
        <v>235.2</v>
      </c>
      <c r="D79" s="80" t="s">
        <v>8</v>
      </c>
      <c r="E79" s="81"/>
      <c r="F79" s="29" t="s">
        <v>8</v>
      </c>
      <c r="G79" s="29" t="s">
        <v>8</v>
      </c>
      <c r="H79" s="38" t="s">
        <v>8</v>
      </c>
      <c r="I79" s="30">
        <f t="shared" si="1"/>
        <v>235.2</v>
      </c>
      <c r="J79" s="30">
        <v>8.6999999999999993</v>
      </c>
      <c r="K79" s="27"/>
      <c r="L79" s="30">
        <v>8.6999999999999993</v>
      </c>
      <c r="M79" s="31"/>
      <c r="N79" s="30">
        <v>8.6999999999999993</v>
      </c>
      <c r="O79" s="31">
        <f t="shared" si="0"/>
        <v>3.6989795918367347</v>
      </c>
      <c r="P79" s="30">
        <v>8.6999999999999993</v>
      </c>
      <c r="Q79" s="30"/>
      <c r="S79" s="77"/>
    </row>
    <row r="80" spans="1:19" s="32" customFormat="1" x14ac:dyDescent="0.25">
      <c r="A80" s="27" t="s">
        <v>62</v>
      </c>
      <c r="B80" s="33" t="s">
        <v>69</v>
      </c>
      <c r="C80" s="38" t="s">
        <v>8</v>
      </c>
      <c r="D80" s="80" t="s">
        <v>8</v>
      </c>
      <c r="E80" s="81"/>
      <c r="F80" s="29" t="s">
        <v>8</v>
      </c>
      <c r="G80" s="29" t="s">
        <v>8</v>
      </c>
      <c r="H80" s="38" t="s">
        <v>8</v>
      </c>
      <c r="I80" s="38" t="s">
        <v>8</v>
      </c>
      <c r="J80" s="29" t="s">
        <v>8</v>
      </c>
      <c r="K80" s="29" t="s">
        <v>8</v>
      </c>
      <c r="L80" s="29" t="s">
        <v>8</v>
      </c>
      <c r="M80" s="31"/>
      <c r="N80" s="30"/>
      <c r="O80" s="27" t="e">
        <f t="shared" si="0"/>
        <v>#VALUE!</v>
      </c>
      <c r="P80" s="38" t="s">
        <v>8</v>
      </c>
      <c r="Q80" s="30"/>
    </row>
    <row r="81" spans="1:19" s="32" customFormat="1" x14ac:dyDescent="0.25">
      <c r="A81" s="27" t="s">
        <v>63</v>
      </c>
      <c r="B81" s="33" t="s">
        <v>70</v>
      </c>
      <c r="C81" s="29" t="s">
        <v>8</v>
      </c>
      <c r="D81" s="82" t="s">
        <v>8</v>
      </c>
      <c r="E81" s="83"/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31"/>
      <c r="N81" s="29" t="s">
        <v>8</v>
      </c>
      <c r="O81" s="29" t="s">
        <v>8</v>
      </c>
      <c r="P81" s="38" t="s">
        <v>8</v>
      </c>
      <c r="Q81" s="29" t="s">
        <v>8</v>
      </c>
    </row>
    <row r="82" spans="1:19" s="32" customFormat="1" x14ac:dyDescent="0.25">
      <c r="A82" s="27" t="s">
        <v>64</v>
      </c>
      <c r="B82" s="33" t="s">
        <v>23</v>
      </c>
      <c r="C82" s="29" t="s">
        <v>8</v>
      </c>
      <c r="D82" s="82" t="s">
        <v>8</v>
      </c>
      <c r="E82" s="83"/>
      <c r="F82" s="29" t="s">
        <v>8</v>
      </c>
      <c r="G82" s="29" t="s">
        <v>8</v>
      </c>
      <c r="H82" s="42">
        <v>190</v>
      </c>
      <c r="I82" s="42">
        <f>H82</f>
        <v>190</v>
      </c>
      <c r="J82" s="29" t="s">
        <v>8</v>
      </c>
      <c r="K82" s="29" t="s">
        <v>8</v>
      </c>
      <c r="L82" s="29" t="s">
        <v>8</v>
      </c>
      <c r="M82" s="31"/>
      <c r="N82" s="29" t="s">
        <v>8</v>
      </c>
      <c r="O82" s="29" t="s">
        <v>8</v>
      </c>
      <c r="P82" s="38" t="s">
        <v>8</v>
      </c>
      <c r="Q82" s="58"/>
    </row>
    <row r="83" spans="1:19" x14ac:dyDescent="0.25">
      <c r="A83" s="18" t="s">
        <v>65</v>
      </c>
      <c r="B83" s="17"/>
      <c r="C83" s="19">
        <f>C39+C41+C57+C61+C64</f>
        <v>38768.639999999999</v>
      </c>
      <c r="D83" s="84">
        <f>D64+D61+D48+D41+D39</f>
        <v>262279</v>
      </c>
      <c r="E83" s="85"/>
      <c r="F83" s="19">
        <v>0</v>
      </c>
      <c r="G83" s="19">
        <f>G64</f>
        <v>0</v>
      </c>
      <c r="H83" s="19">
        <f>H64+H57+H48+H39+H41</f>
        <v>13937</v>
      </c>
      <c r="I83" s="19">
        <f>I39+I41+I57+I61+I64+I48</f>
        <v>314984.64</v>
      </c>
      <c r="J83" s="19">
        <f>J64+J61+J57+J48+J41+J39</f>
        <v>65076.15</v>
      </c>
      <c r="K83" s="22"/>
      <c r="L83" s="19">
        <f>L64+L61+L57+L48+L41+L39</f>
        <v>127044.23000000001</v>
      </c>
      <c r="M83" s="24"/>
      <c r="N83" s="19">
        <f>N39+N41+N48+N57+N61+N64</f>
        <v>205497.95</v>
      </c>
      <c r="O83" s="18"/>
      <c r="P83" s="19">
        <f>P64+P61+P48+P41+P39+P57</f>
        <v>65135.040000000001</v>
      </c>
      <c r="Q83" s="19"/>
      <c r="R83" s="25">
        <f>N83-N57</f>
        <v>200201.53</v>
      </c>
      <c r="S83" s="25"/>
    </row>
    <row r="84" spans="1:19" x14ac:dyDescent="0.25">
      <c r="A84" s="1"/>
      <c r="B84" s="1"/>
      <c r="C84" s="1"/>
      <c r="D84" s="6"/>
      <c r="E84" s="6"/>
      <c r="F84" s="1"/>
      <c r="G84" s="1"/>
      <c r="H84" s="1"/>
      <c r="I84" s="6"/>
      <c r="J84" s="1"/>
      <c r="K84" s="1"/>
      <c r="L84" s="1"/>
      <c r="M84" s="1"/>
      <c r="N84" s="6"/>
      <c r="O84" s="1"/>
      <c r="P84" s="6"/>
      <c r="Q84" s="6"/>
      <c r="R84" s="25"/>
    </row>
    <row r="85" spans="1:19" x14ac:dyDescent="0.25">
      <c r="D85" s="25"/>
      <c r="E85" s="25"/>
      <c r="H85" s="25"/>
      <c r="I85" s="25"/>
      <c r="P85" s="25"/>
      <c r="Q85" s="25"/>
    </row>
    <row r="86" spans="1:19" s="34" customFormat="1" ht="15.75" x14ac:dyDescent="0.25">
      <c r="G86" s="35"/>
      <c r="I86" s="35"/>
      <c r="L86" s="35"/>
      <c r="N86" s="35"/>
      <c r="P86" s="35"/>
      <c r="Q86" s="35"/>
      <c r="R86"/>
    </row>
    <row r="87" spans="1:19" s="34" customFormat="1" ht="15.75" x14ac:dyDescent="0.25">
      <c r="A87" s="34" t="s">
        <v>109</v>
      </c>
      <c r="C87" s="94" t="s">
        <v>72</v>
      </c>
      <c r="D87" s="94"/>
      <c r="E87" s="94"/>
      <c r="F87" s="94"/>
      <c r="N87" s="35"/>
      <c r="P87" s="35"/>
      <c r="Q87" s="35"/>
    </row>
    <row r="88" spans="1:19" s="34" customFormat="1" ht="15.75" x14ac:dyDescent="0.25">
      <c r="I88" s="35"/>
      <c r="L88" s="35"/>
      <c r="N88" s="35"/>
      <c r="P88" s="35"/>
      <c r="Q88" s="35"/>
    </row>
    <row r="89" spans="1:19" s="34" customFormat="1" ht="15.75" x14ac:dyDescent="0.25">
      <c r="A89" s="34" t="s">
        <v>71</v>
      </c>
      <c r="C89" s="94" t="s">
        <v>73</v>
      </c>
      <c r="D89" s="94"/>
      <c r="E89" s="94"/>
      <c r="F89" s="94"/>
      <c r="I89" s="35"/>
      <c r="L89" s="35"/>
      <c r="R89" s="35"/>
      <c r="S89" s="35"/>
    </row>
    <row r="90" spans="1:19" s="34" customFormat="1" ht="15.75" x14ac:dyDescent="0.25">
      <c r="A90" s="34" t="s">
        <v>93</v>
      </c>
      <c r="C90" s="94" t="s">
        <v>74</v>
      </c>
      <c r="D90" s="94"/>
      <c r="E90" s="94"/>
      <c r="F90" s="94"/>
    </row>
    <row r="91" spans="1:19" s="34" customFormat="1" ht="15.75" x14ac:dyDescent="0.25"/>
    <row r="92" spans="1:19" s="34" customFormat="1" ht="15.75" x14ac:dyDescent="0.25"/>
  </sheetData>
  <mergeCells count="52">
    <mergeCell ref="C89:F89"/>
    <mergeCell ref="C90:F90"/>
    <mergeCell ref="A3:I3"/>
    <mergeCell ref="A4:I4"/>
    <mergeCell ref="D1:I1"/>
    <mergeCell ref="C87:F8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8:E58"/>
    <mergeCell ref="D57:E57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</mergeCells>
  <printOptions horizontalCentered="1" verticalCentered="1"/>
  <pageMargins left="0" right="0" top="0" bottom="0" header="0" footer="0"/>
  <pageSetup paperSize="9" scale="41" orientation="portrait" horizontalDpi="4294967294" verticalDpi="4294967294" r:id="rId1"/>
  <headerFooter>
    <oddFooter>&amp;RИзпълнение на бюджета към 30.06.2022г.</oddFooter>
  </headerFooter>
  <ignoredErrors>
    <ignoredError sqref="O51 I39 I23:I25 I10:I11 I61 I76 I69 I74" formula="1"/>
    <ignoredError sqref="B18:B19 B21:B25 B78:B82 B67:B70 B26 B49:B56 B73:B77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2" sqref="C2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1</vt:i4>
      </vt:variant>
    </vt:vector>
  </HeadingPairs>
  <TitlesOfParts>
    <vt:vector size="4" baseType="lpstr">
      <vt:lpstr>преди компенсации</vt:lpstr>
      <vt:lpstr>след компенсации</vt:lpstr>
      <vt:lpstr>Sheet3</vt:lpstr>
      <vt:lpstr>'преди компенсации'!Област_печат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2022-10-03T13:33:41Z</cp:lastPrinted>
  <dcterms:created xsi:type="dcterms:W3CDTF">2021-10-04T18:50:22Z</dcterms:created>
  <dcterms:modified xsi:type="dcterms:W3CDTF">2022-10-25T08:34:39Z</dcterms:modified>
</cp:coreProperties>
</file>